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activeTab="0"/>
  </bookViews>
  <sheets>
    <sheet name="IRPF ANUAL" sheetId="1" r:id="rId1"/>
    <sheet name="Parámetros" sheetId="2" r:id="rId2"/>
    <sheet name="Enero" sheetId="3" r:id="rId3"/>
    <sheet name="Febrero" sheetId="4" r:id="rId4"/>
    <sheet name="Marzo" sheetId="5" r:id="rId5"/>
    <sheet name="Abril" sheetId="6" r:id="rId6"/>
    <sheet name="Mayo" sheetId="7" r:id="rId7"/>
    <sheet name="AGUINALDO" sheetId="8" r:id="rId8"/>
    <sheet name="Junio" sheetId="9" r:id="rId9"/>
    <sheet name="Julio" sheetId="10" r:id="rId10"/>
    <sheet name="Agosto" sheetId="11" r:id="rId11"/>
    <sheet name="Setiembre" sheetId="12" r:id="rId12"/>
    <sheet name="Octubre" sheetId="13" r:id="rId13"/>
    <sheet name="Noviembre" sheetId="14" r:id="rId14"/>
    <sheet name="Diciembre" sheetId="15" r:id="rId15"/>
    <sheet name="GUIA TRABAJADOR" sheetId="16" r:id="rId16"/>
  </sheets>
  <externalReferences>
    <externalReference r:id="rId19"/>
  </externalReferences>
  <definedNames/>
  <calcPr fullCalcOnLoad="1"/>
</workbook>
</file>

<file path=xl/comments10.xml><?xml version="1.0" encoding="utf-8"?>
<comments xmlns="http://schemas.openxmlformats.org/spreadsheetml/2006/main">
  <authors>
    <author>BPS</author>
    <author>pperdomo</author>
    <author>Pablo Perdomo</author>
  </authors>
  <commentList>
    <comment ref="G4" authorId="0">
      <text>
        <r>
          <rPr>
            <b/>
            <sz val="8"/>
            <rFont val="Tahoma"/>
            <family val="0"/>
          </rPr>
          <t>PARA CALCULAR EL IRPF, SIEMPRE HAY QUE LLENAR ESTA CELDA.
EN CASO DE MAS DE UN EMPLEO, SUMAR LOS NOMINALES</t>
        </r>
        <r>
          <rPr>
            <sz val="8"/>
            <rFont val="Tahoma"/>
            <family val="0"/>
          </rPr>
          <t xml:space="preserve">
</t>
        </r>
      </text>
    </comment>
    <comment ref="G6" authorId="0">
      <text>
        <r>
          <rPr>
            <b/>
            <sz val="10"/>
            <rFont val="Tahoma"/>
            <family val="2"/>
          </rPr>
          <t>ESTA CELDA ES IMPRESCINDIBLE LLENARLA, PARA CALCULAR CORRECTAMENTE EL APORTE AL SISTEMA NACIONAL INTEGRADO DE SALUD</t>
        </r>
        <r>
          <rPr>
            <sz val="8"/>
            <rFont val="Tahoma"/>
            <family val="0"/>
          </rPr>
          <t xml:space="preserve">
</t>
        </r>
      </text>
    </comment>
    <comment ref="G7" authorId="0">
      <text>
        <r>
          <rPr>
            <b/>
            <u val="single"/>
            <sz val="9"/>
            <rFont val="Tahoma"/>
            <family val="2"/>
          </rPr>
          <t>Nuevo régimen</t>
        </r>
        <r>
          <rPr>
            <b/>
            <sz val="8"/>
            <rFont val="Tahoma"/>
            <family val="2"/>
          </rPr>
          <t xml:space="preserve">: aquellos trabajadores que aportan al régimen de jubilación por solidaridad intergeneracional y al  régimen de jubilación por ahorro individual obligatorio, (AFAP).
</t>
        </r>
        <r>
          <rPr>
            <b/>
            <u val="single"/>
            <sz val="9"/>
            <rFont val="Tahoma"/>
            <family val="2"/>
          </rPr>
          <t>Régimen de transición</t>
        </r>
        <r>
          <rPr>
            <b/>
            <sz val="8"/>
            <rFont val="Tahoma"/>
            <family val="2"/>
          </rPr>
          <t xml:space="preserve">: aportan </t>
        </r>
        <r>
          <rPr>
            <b/>
            <u val="single"/>
            <sz val="8"/>
            <rFont val="Tahoma"/>
            <family val="2"/>
          </rPr>
          <t>solo</t>
        </r>
        <r>
          <rPr>
            <b/>
            <sz val="8"/>
            <rFont val="Tahoma"/>
            <family val="2"/>
          </rPr>
          <t xml:space="preserve"> al régimen de jubilación por solidaridad intergeneracional, (no a la AFAP)</t>
        </r>
        <r>
          <rPr>
            <sz val="8"/>
            <rFont val="Tahoma"/>
            <family val="0"/>
          </rPr>
          <t xml:space="preserve">
</t>
        </r>
      </text>
    </comment>
    <comment ref="G9" authorId="0">
      <text>
        <r>
          <rPr>
            <b/>
            <sz val="8"/>
            <rFont val="Tahoma"/>
            <family val="0"/>
          </rPr>
          <t>PARA PODER CALCULAR LAS DEDUCCIONES, SIEMPRE HAY QUE LLENAR ESTA CELDA, SI SE ES FUNCIONARIO PÚBLICO</t>
        </r>
        <r>
          <rPr>
            <sz val="8"/>
            <rFont val="Tahoma"/>
            <family val="0"/>
          </rPr>
          <t xml:space="preserve">
</t>
        </r>
      </text>
    </comment>
    <comment ref="G12" authorId="0">
      <text>
        <r>
          <rPr>
            <b/>
            <sz val="8"/>
            <rFont val="Tahoma"/>
            <family val="0"/>
          </rPr>
          <t>PARA PODER CALCULAR LAS DEDUCCIONES SIEMPRE SE DEBE LLENAR ESTA CELDA, SI SE ES TRABAJADOR PRIVADO</t>
        </r>
        <r>
          <rPr>
            <sz val="8"/>
            <rFont val="Tahoma"/>
            <family val="0"/>
          </rPr>
          <t xml:space="preserve">
</t>
        </r>
      </text>
    </comment>
    <comment ref="G16" authorId="0">
      <text>
        <r>
          <rPr>
            <b/>
            <sz val="8"/>
            <rFont val="Tahoma"/>
            <family val="2"/>
          </rPr>
          <t>ADEMAS DE LOS DECLARADOS LEGALMENTE, TAMBIEN ESTAN CONSIDERADOS, LOS CALIFICADOS CON "INCAPACIDAD SEVERA" POR EL B.P.S.</t>
        </r>
        <r>
          <rPr>
            <sz val="8"/>
            <rFont val="Tahoma"/>
            <family val="0"/>
          </rPr>
          <t xml:space="preserve">
</t>
        </r>
      </text>
    </comment>
    <comment ref="F55" authorId="1">
      <text>
        <r>
          <rPr>
            <sz val="8"/>
            <rFont val="Tahoma"/>
            <family val="0"/>
          </rPr>
          <t xml:space="preserve">RECUERDA ACTUALIZAR EL VALOR DE LA BASE DE PRESTACIONES Y CONTRIBUCIONES,  CUYO IMPORTE DECRETARÁ EL PODER EJECUTIVO EN CADA AUMENTO SALARIAL OTORGADO A LOS FUNCIONARIOS PÚBLICOS.
</t>
        </r>
      </text>
    </comment>
    <comment ref="E105" authorId="2">
      <text>
        <r>
          <rPr>
            <b/>
            <sz val="8"/>
            <rFont val="Tahoma"/>
            <family val="0"/>
          </rPr>
          <t>Art.188, 1% y 3%</t>
        </r>
        <r>
          <rPr>
            <sz val="8"/>
            <rFont val="Tahoma"/>
            <family val="0"/>
          </rPr>
          <t xml:space="preserve">
</t>
        </r>
      </text>
    </comment>
    <comment ref="A108" authorId="2">
      <text>
        <r>
          <rPr>
            <b/>
            <sz val="8"/>
            <rFont val="Tahoma"/>
            <family val="0"/>
          </rPr>
          <t>DEDUCCIONES DE MENORES EN PASIVOS</t>
        </r>
        <r>
          <rPr>
            <sz val="8"/>
            <rFont val="Tahoma"/>
            <family val="0"/>
          </rPr>
          <t xml:space="preserve">
</t>
        </r>
      </text>
    </comment>
    <comment ref="E122" authorId="2">
      <text>
        <r>
          <rPr>
            <b/>
            <sz val="10"/>
            <rFont val="Tahoma"/>
            <family val="2"/>
          </rPr>
          <t>IMPORTE VIGENTE A ENERO DE 2007</t>
        </r>
        <r>
          <rPr>
            <sz val="8"/>
            <rFont val="Tahoma"/>
            <family val="0"/>
          </rPr>
          <t xml:space="preserve">
</t>
        </r>
      </text>
    </comment>
    <comment ref="E128" authorId="0">
      <text>
        <r>
          <rPr>
            <b/>
            <sz val="10"/>
            <rFont val="Tahoma"/>
            <family val="2"/>
          </rPr>
          <t>IMPORTE VIGENTE A ENERO 2007</t>
        </r>
        <r>
          <rPr>
            <sz val="8"/>
            <rFont val="Tahoma"/>
            <family val="0"/>
          </rPr>
          <t xml:space="preserve">
</t>
        </r>
      </text>
    </comment>
    <comment ref="E131" authorId="2">
      <text>
        <r>
          <rPr>
            <b/>
            <sz val="10"/>
            <rFont val="Tahoma"/>
            <family val="2"/>
          </rPr>
          <t>VALOR VIGENTE A FEBRERO 2007</t>
        </r>
        <r>
          <rPr>
            <sz val="8"/>
            <rFont val="Tahoma"/>
            <family val="0"/>
          </rPr>
          <t xml:space="preserve">
</t>
        </r>
      </text>
    </comment>
  </commentList>
</comments>
</file>

<file path=xl/comments11.xml><?xml version="1.0" encoding="utf-8"?>
<comments xmlns="http://schemas.openxmlformats.org/spreadsheetml/2006/main">
  <authors>
    <author>BPS</author>
    <author>pperdomo</author>
    <author>Pablo Perdomo</author>
  </authors>
  <commentList>
    <comment ref="G4" authorId="0">
      <text>
        <r>
          <rPr>
            <b/>
            <sz val="8"/>
            <rFont val="Tahoma"/>
            <family val="0"/>
          </rPr>
          <t>PARA CALCULAR EL IRPF, SIEMPRE HAY QUE LLENAR ESTA CELDA.
EN CASO DE MAS DE UN EMPLEO, SUMAR LOS NOMINALES</t>
        </r>
        <r>
          <rPr>
            <sz val="8"/>
            <rFont val="Tahoma"/>
            <family val="0"/>
          </rPr>
          <t xml:space="preserve">
</t>
        </r>
      </text>
    </comment>
    <comment ref="G6" authorId="0">
      <text>
        <r>
          <rPr>
            <b/>
            <sz val="10"/>
            <rFont val="Tahoma"/>
            <family val="2"/>
          </rPr>
          <t>ESTA CELDA ES IMPRESCINDIBLE LLENARLA, PARA CALCULAR CORRECTAMENTE EL APORTE AL SISTEMA NACIONAL INTEGRADO DE SALUD</t>
        </r>
        <r>
          <rPr>
            <sz val="8"/>
            <rFont val="Tahoma"/>
            <family val="0"/>
          </rPr>
          <t xml:space="preserve">
</t>
        </r>
      </text>
    </comment>
    <comment ref="G7" authorId="0">
      <text>
        <r>
          <rPr>
            <b/>
            <u val="single"/>
            <sz val="9"/>
            <rFont val="Tahoma"/>
            <family val="2"/>
          </rPr>
          <t>Nuevo régimen</t>
        </r>
        <r>
          <rPr>
            <b/>
            <sz val="8"/>
            <rFont val="Tahoma"/>
            <family val="2"/>
          </rPr>
          <t xml:space="preserve">: aquellos trabajadores que aportan al régimen de jubilación por solidaridad intergeneracional y al  régimen de jubilación por ahorro individual obligatorio, (AFAP).
</t>
        </r>
        <r>
          <rPr>
            <b/>
            <u val="single"/>
            <sz val="9"/>
            <rFont val="Tahoma"/>
            <family val="2"/>
          </rPr>
          <t>Régimen de transición</t>
        </r>
        <r>
          <rPr>
            <b/>
            <sz val="8"/>
            <rFont val="Tahoma"/>
            <family val="2"/>
          </rPr>
          <t xml:space="preserve">: aportan </t>
        </r>
        <r>
          <rPr>
            <b/>
            <u val="single"/>
            <sz val="8"/>
            <rFont val="Tahoma"/>
            <family val="2"/>
          </rPr>
          <t>solo</t>
        </r>
        <r>
          <rPr>
            <b/>
            <sz val="8"/>
            <rFont val="Tahoma"/>
            <family val="2"/>
          </rPr>
          <t xml:space="preserve"> al régimen de jubilación por solidaridad intergeneracional, (no a la AFAP)</t>
        </r>
        <r>
          <rPr>
            <sz val="8"/>
            <rFont val="Tahoma"/>
            <family val="0"/>
          </rPr>
          <t xml:space="preserve">
</t>
        </r>
      </text>
    </comment>
    <comment ref="G9" authorId="0">
      <text>
        <r>
          <rPr>
            <b/>
            <sz val="8"/>
            <rFont val="Tahoma"/>
            <family val="0"/>
          </rPr>
          <t>PARA PODER CALCULAR LAS DEDUCCIONES, SIEMPRE HAY QUE LLENAR ESTA CELDA, SI SE ES FUNCIONARIO PÚBLICO</t>
        </r>
        <r>
          <rPr>
            <sz val="8"/>
            <rFont val="Tahoma"/>
            <family val="0"/>
          </rPr>
          <t xml:space="preserve">
</t>
        </r>
      </text>
    </comment>
    <comment ref="G12" authorId="0">
      <text>
        <r>
          <rPr>
            <b/>
            <sz val="8"/>
            <rFont val="Tahoma"/>
            <family val="0"/>
          </rPr>
          <t>PARA PODER CALCULAR LAS DEDUCCIONES SIEMPRE SE DEBE LLENAR ESTA CELDA, SI SE ES TRABAJADOR PRIVADO</t>
        </r>
        <r>
          <rPr>
            <sz val="8"/>
            <rFont val="Tahoma"/>
            <family val="0"/>
          </rPr>
          <t xml:space="preserve">
</t>
        </r>
      </text>
    </comment>
    <comment ref="G16" authorId="0">
      <text>
        <r>
          <rPr>
            <b/>
            <sz val="8"/>
            <rFont val="Tahoma"/>
            <family val="2"/>
          </rPr>
          <t>ADEMAS DE LOS DECLARADOS LEGALMENTE, TAMBIEN ESTAN CONSIDERADOS, LOS CALIFICADOS CON "INCAPACIDAD SEVERA" POR EL B.P.S.</t>
        </r>
        <r>
          <rPr>
            <sz val="8"/>
            <rFont val="Tahoma"/>
            <family val="0"/>
          </rPr>
          <t xml:space="preserve">
</t>
        </r>
      </text>
    </comment>
    <comment ref="F55" authorId="1">
      <text>
        <r>
          <rPr>
            <sz val="8"/>
            <rFont val="Tahoma"/>
            <family val="0"/>
          </rPr>
          <t xml:space="preserve">RECUERDA ACTUALIZAR EL VALOR DE LA BASE DE PRESTACIONES Y CONTRIBUCIONES,  CUYO IMPORTE DECRETARÁ EL PODER EJECUTIVO EN CADA AUMENTO SALARIAL OTORGADO A LOS FUNCIONARIOS PÚBLICOS.
</t>
        </r>
      </text>
    </comment>
    <comment ref="E105" authorId="2">
      <text>
        <r>
          <rPr>
            <b/>
            <sz val="8"/>
            <rFont val="Tahoma"/>
            <family val="0"/>
          </rPr>
          <t>Art.188, 1% y 3%</t>
        </r>
        <r>
          <rPr>
            <sz val="8"/>
            <rFont val="Tahoma"/>
            <family val="0"/>
          </rPr>
          <t xml:space="preserve">
</t>
        </r>
      </text>
    </comment>
    <comment ref="A108" authorId="2">
      <text>
        <r>
          <rPr>
            <b/>
            <sz val="8"/>
            <rFont val="Tahoma"/>
            <family val="0"/>
          </rPr>
          <t>DEDUCCIONES DE MENORES EN PASIVOS</t>
        </r>
        <r>
          <rPr>
            <sz val="8"/>
            <rFont val="Tahoma"/>
            <family val="0"/>
          </rPr>
          <t xml:space="preserve">
</t>
        </r>
      </text>
    </comment>
    <comment ref="E122" authorId="2">
      <text>
        <r>
          <rPr>
            <b/>
            <sz val="10"/>
            <rFont val="Tahoma"/>
            <family val="2"/>
          </rPr>
          <t>IMPORTE VIGENTE A ENERO DE 2007</t>
        </r>
        <r>
          <rPr>
            <sz val="8"/>
            <rFont val="Tahoma"/>
            <family val="0"/>
          </rPr>
          <t xml:space="preserve">
</t>
        </r>
      </text>
    </comment>
    <comment ref="E128" authorId="0">
      <text>
        <r>
          <rPr>
            <b/>
            <sz val="10"/>
            <rFont val="Tahoma"/>
            <family val="2"/>
          </rPr>
          <t>IMPORTE VIGENTE A ENERO 2007</t>
        </r>
        <r>
          <rPr>
            <sz val="8"/>
            <rFont val="Tahoma"/>
            <family val="0"/>
          </rPr>
          <t xml:space="preserve">
</t>
        </r>
      </text>
    </comment>
    <comment ref="E131" authorId="2">
      <text>
        <r>
          <rPr>
            <b/>
            <sz val="10"/>
            <rFont val="Tahoma"/>
            <family val="2"/>
          </rPr>
          <t>VALOR VIGENTE A FEBRERO 2007</t>
        </r>
        <r>
          <rPr>
            <sz val="8"/>
            <rFont val="Tahoma"/>
            <family val="0"/>
          </rPr>
          <t xml:space="preserve">
</t>
        </r>
      </text>
    </comment>
  </commentList>
</comments>
</file>

<file path=xl/comments12.xml><?xml version="1.0" encoding="utf-8"?>
<comments xmlns="http://schemas.openxmlformats.org/spreadsheetml/2006/main">
  <authors>
    <author>BPS</author>
    <author>pperdomo</author>
    <author>Pablo Perdomo</author>
  </authors>
  <commentList>
    <comment ref="G4" authorId="0">
      <text>
        <r>
          <rPr>
            <b/>
            <sz val="8"/>
            <rFont val="Tahoma"/>
            <family val="0"/>
          </rPr>
          <t>PARA CALCULAR EL IRPF, SIEMPRE HAY QUE LLENAR ESTA CELDA.
EN CASO DE MAS DE UN EMPLEO, SUMAR LOS NOMINALES</t>
        </r>
        <r>
          <rPr>
            <sz val="8"/>
            <rFont val="Tahoma"/>
            <family val="0"/>
          </rPr>
          <t xml:space="preserve">
</t>
        </r>
      </text>
    </comment>
    <comment ref="G6" authorId="0">
      <text>
        <r>
          <rPr>
            <b/>
            <sz val="10"/>
            <rFont val="Tahoma"/>
            <family val="2"/>
          </rPr>
          <t>ESTA CELDA ES IMPRESCINDIBLE LLENARLA, PARA CALCULAR CORRECTAMENTE EL APORTE AL SISTEMA NACIONAL INTEGRADO DE SALUD</t>
        </r>
        <r>
          <rPr>
            <sz val="8"/>
            <rFont val="Tahoma"/>
            <family val="0"/>
          </rPr>
          <t xml:space="preserve">
</t>
        </r>
      </text>
    </comment>
    <comment ref="G7" authorId="0">
      <text>
        <r>
          <rPr>
            <b/>
            <u val="single"/>
            <sz val="9"/>
            <rFont val="Tahoma"/>
            <family val="2"/>
          </rPr>
          <t>Nuevo régimen</t>
        </r>
        <r>
          <rPr>
            <b/>
            <sz val="8"/>
            <rFont val="Tahoma"/>
            <family val="2"/>
          </rPr>
          <t xml:space="preserve">: aquellos trabajadores que aportan al régimen de jubilación por solidaridad intergeneracional y al  régimen de jubilación por ahorro individual obligatorio, (AFAP).
</t>
        </r>
        <r>
          <rPr>
            <b/>
            <u val="single"/>
            <sz val="9"/>
            <rFont val="Tahoma"/>
            <family val="2"/>
          </rPr>
          <t>Régimen de transición</t>
        </r>
        <r>
          <rPr>
            <b/>
            <sz val="8"/>
            <rFont val="Tahoma"/>
            <family val="2"/>
          </rPr>
          <t xml:space="preserve">: aportan </t>
        </r>
        <r>
          <rPr>
            <b/>
            <u val="single"/>
            <sz val="8"/>
            <rFont val="Tahoma"/>
            <family val="2"/>
          </rPr>
          <t>solo</t>
        </r>
        <r>
          <rPr>
            <b/>
            <sz val="8"/>
            <rFont val="Tahoma"/>
            <family val="2"/>
          </rPr>
          <t xml:space="preserve"> al régimen de jubilación por solidaridad intergeneracional, (no a la AFAP)</t>
        </r>
        <r>
          <rPr>
            <sz val="8"/>
            <rFont val="Tahoma"/>
            <family val="0"/>
          </rPr>
          <t xml:space="preserve">
</t>
        </r>
      </text>
    </comment>
    <comment ref="G9" authorId="0">
      <text>
        <r>
          <rPr>
            <b/>
            <sz val="8"/>
            <rFont val="Tahoma"/>
            <family val="0"/>
          </rPr>
          <t>PARA PODER CALCULAR LAS DEDUCCIONES, SIEMPRE HAY QUE LLENAR ESTA CELDA, SI SE ES FUNCIONARIO PÚBLICO</t>
        </r>
        <r>
          <rPr>
            <sz val="8"/>
            <rFont val="Tahoma"/>
            <family val="0"/>
          </rPr>
          <t xml:space="preserve">
</t>
        </r>
      </text>
    </comment>
    <comment ref="G12" authorId="0">
      <text>
        <r>
          <rPr>
            <b/>
            <sz val="8"/>
            <rFont val="Tahoma"/>
            <family val="0"/>
          </rPr>
          <t>PARA PODER CALCULAR LAS DEDUCCIONES SIEMPRE SE DEBE LLENAR ESTA CELDA, SI SE ES TRABAJADOR PRIVADO</t>
        </r>
        <r>
          <rPr>
            <sz val="8"/>
            <rFont val="Tahoma"/>
            <family val="0"/>
          </rPr>
          <t xml:space="preserve">
</t>
        </r>
      </text>
    </comment>
    <comment ref="G16" authorId="0">
      <text>
        <r>
          <rPr>
            <b/>
            <sz val="8"/>
            <rFont val="Tahoma"/>
            <family val="2"/>
          </rPr>
          <t>ADEMAS DE LOS DECLARADOS LEGALMENTE, TAMBIEN ESTAN CONSIDERADOS, LOS CALIFICADOS CON "INCAPACIDAD SEVERA" POR EL B.P.S.</t>
        </r>
        <r>
          <rPr>
            <sz val="8"/>
            <rFont val="Tahoma"/>
            <family val="0"/>
          </rPr>
          <t xml:space="preserve">
</t>
        </r>
      </text>
    </comment>
    <comment ref="F55" authorId="1">
      <text>
        <r>
          <rPr>
            <sz val="8"/>
            <rFont val="Tahoma"/>
            <family val="0"/>
          </rPr>
          <t xml:space="preserve">RECUERDA ACTUALIZAR EL VALOR DE LA BASE DE PRESTACIONES Y CONTRIBUCIONES,  CUYO IMPORTE DECRETARÁ EL PODER EJECUTIVO EN CADA AUMENTO SALARIAL OTORGADO A LOS FUNCIONARIOS PÚBLICOS.
</t>
        </r>
      </text>
    </comment>
    <comment ref="E105" authorId="2">
      <text>
        <r>
          <rPr>
            <b/>
            <sz val="8"/>
            <rFont val="Tahoma"/>
            <family val="0"/>
          </rPr>
          <t>Art.188, 1% y 3%</t>
        </r>
        <r>
          <rPr>
            <sz val="8"/>
            <rFont val="Tahoma"/>
            <family val="0"/>
          </rPr>
          <t xml:space="preserve">
</t>
        </r>
      </text>
    </comment>
    <comment ref="A108" authorId="2">
      <text>
        <r>
          <rPr>
            <b/>
            <sz val="8"/>
            <rFont val="Tahoma"/>
            <family val="0"/>
          </rPr>
          <t>DEDUCCIONES DE MENORES EN PASIVOS</t>
        </r>
        <r>
          <rPr>
            <sz val="8"/>
            <rFont val="Tahoma"/>
            <family val="0"/>
          </rPr>
          <t xml:space="preserve">
</t>
        </r>
      </text>
    </comment>
    <comment ref="E122" authorId="2">
      <text>
        <r>
          <rPr>
            <b/>
            <sz val="10"/>
            <rFont val="Tahoma"/>
            <family val="2"/>
          </rPr>
          <t>IMPORTE VIGENTE A ENERO DE 2007</t>
        </r>
        <r>
          <rPr>
            <sz val="8"/>
            <rFont val="Tahoma"/>
            <family val="0"/>
          </rPr>
          <t xml:space="preserve">
</t>
        </r>
      </text>
    </comment>
    <comment ref="E128" authorId="0">
      <text>
        <r>
          <rPr>
            <b/>
            <sz val="10"/>
            <rFont val="Tahoma"/>
            <family val="2"/>
          </rPr>
          <t>IMPORTE VIGENTE A ENERO 2007</t>
        </r>
        <r>
          <rPr>
            <sz val="8"/>
            <rFont val="Tahoma"/>
            <family val="0"/>
          </rPr>
          <t xml:space="preserve">
</t>
        </r>
      </text>
    </comment>
    <comment ref="E131" authorId="2">
      <text>
        <r>
          <rPr>
            <b/>
            <sz val="10"/>
            <rFont val="Tahoma"/>
            <family val="2"/>
          </rPr>
          <t>VALOR VIGENTE A FEBRERO 2007</t>
        </r>
        <r>
          <rPr>
            <sz val="8"/>
            <rFont val="Tahoma"/>
            <family val="0"/>
          </rPr>
          <t xml:space="preserve">
</t>
        </r>
      </text>
    </comment>
  </commentList>
</comments>
</file>

<file path=xl/comments13.xml><?xml version="1.0" encoding="utf-8"?>
<comments xmlns="http://schemas.openxmlformats.org/spreadsheetml/2006/main">
  <authors>
    <author>BPS</author>
    <author>pperdomo</author>
    <author>Pablo Perdomo</author>
  </authors>
  <commentList>
    <comment ref="G4" authorId="0">
      <text>
        <r>
          <rPr>
            <b/>
            <sz val="8"/>
            <rFont val="Tahoma"/>
            <family val="0"/>
          </rPr>
          <t>PARA CALCULAR EL IRPF, SIEMPRE HAY QUE LLENAR ESTA CELDA.
EN CASO DE MAS DE UN EMPLEO, SUMAR LOS NOMINALES</t>
        </r>
        <r>
          <rPr>
            <sz val="8"/>
            <rFont val="Tahoma"/>
            <family val="0"/>
          </rPr>
          <t xml:space="preserve">
</t>
        </r>
      </text>
    </comment>
    <comment ref="G6" authorId="0">
      <text>
        <r>
          <rPr>
            <b/>
            <sz val="10"/>
            <rFont val="Tahoma"/>
            <family val="2"/>
          </rPr>
          <t>ESTA CELDA ES IMPRESCINDIBLE LLENARLA, PARA CALCULAR CORRECTAMENTE EL APORTE AL SISTEMA NACIONAL INTEGRADO DE SALUD</t>
        </r>
        <r>
          <rPr>
            <sz val="8"/>
            <rFont val="Tahoma"/>
            <family val="0"/>
          </rPr>
          <t xml:space="preserve">
</t>
        </r>
      </text>
    </comment>
    <comment ref="G7" authorId="0">
      <text>
        <r>
          <rPr>
            <b/>
            <u val="single"/>
            <sz val="9"/>
            <rFont val="Tahoma"/>
            <family val="2"/>
          </rPr>
          <t>Nuevo régimen</t>
        </r>
        <r>
          <rPr>
            <b/>
            <sz val="8"/>
            <rFont val="Tahoma"/>
            <family val="2"/>
          </rPr>
          <t xml:space="preserve">: aquellos trabajadores que aportan al régimen de jubilación por solidaridad intergeneracional y al  régimen de jubilación por ahorro individual obligatorio, (AFAP).
</t>
        </r>
        <r>
          <rPr>
            <b/>
            <u val="single"/>
            <sz val="9"/>
            <rFont val="Tahoma"/>
            <family val="2"/>
          </rPr>
          <t>Régimen de transición</t>
        </r>
        <r>
          <rPr>
            <b/>
            <sz val="8"/>
            <rFont val="Tahoma"/>
            <family val="2"/>
          </rPr>
          <t xml:space="preserve">: aportan </t>
        </r>
        <r>
          <rPr>
            <b/>
            <u val="single"/>
            <sz val="8"/>
            <rFont val="Tahoma"/>
            <family val="2"/>
          </rPr>
          <t>solo</t>
        </r>
        <r>
          <rPr>
            <b/>
            <sz val="8"/>
            <rFont val="Tahoma"/>
            <family val="2"/>
          </rPr>
          <t xml:space="preserve"> al régimen de jubilación por solidaridad intergeneracional, (no a la AFAP)</t>
        </r>
        <r>
          <rPr>
            <sz val="8"/>
            <rFont val="Tahoma"/>
            <family val="0"/>
          </rPr>
          <t xml:space="preserve">
</t>
        </r>
      </text>
    </comment>
    <comment ref="G9" authorId="0">
      <text>
        <r>
          <rPr>
            <b/>
            <sz val="8"/>
            <rFont val="Tahoma"/>
            <family val="0"/>
          </rPr>
          <t>PARA PODER CALCULAR LAS DEDUCCIONES, SIEMPRE HAY QUE LLENAR ESTA CELDA, SI SE ES FUNCIONARIO PÚBLICO</t>
        </r>
        <r>
          <rPr>
            <sz val="8"/>
            <rFont val="Tahoma"/>
            <family val="0"/>
          </rPr>
          <t xml:space="preserve">
</t>
        </r>
      </text>
    </comment>
    <comment ref="G12" authorId="0">
      <text>
        <r>
          <rPr>
            <b/>
            <sz val="8"/>
            <rFont val="Tahoma"/>
            <family val="0"/>
          </rPr>
          <t>PARA PODER CALCULAR LAS DEDUCCIONES SIEMPRE SE DEBE LLENAR ESTA CELDA, SI SE ES TRABAJADOR PRIVADO</t>
        </r>
        <r>
          <rPr>
            <sz val="8"/>
            <rFont val="Tahoma"/>
            <family val="0"/>
          </rPr>
          <t xml:space="preserve">
</t>
        </r>
      </text>
    </comment>
    <comment ref="G16" authorId="0">
      <text>
        <r>
          <rPr>
            <b/>
            <sz val="8"/>
            <rFont val="Tahoma"/>
            <family val="2"/>
          </rPr>
          <t>ADEMAS DE LOS DECLARADOS LEGALMENTE, TAMBIEN ESTAN CONSIDERADOS, LOS CALIFICADOS CON "INCAPACIDAD SEVERA" POR EL B.P.S.</t>
        </r>
        <r>
          <rPr>
            <sz val="8"/>
            <rFont val="Tahoma"/>
            <family val="0"/>
          </rPr>
          <t xml:space="preserve">
</t>
        </r>
      </text>
    </comment>
    <comment ref="F55" authorId="1">
      <text>
        <r>
          <rPr>
            <sz val="8"/>
            <rFont val="Tahoma"/>
            <family val="0"/>
          </rPr>
          <t xml:space="preserve">RECUERDA ACTUALIZAR EL VALOR DE LA BASE DE PRESTACIONES Y CONTRIBUCIONES,  CUYO IMPORTE DECRETARÁ EL PODER EJECUTIVO EN CADA AUMENTO SALARIAL OTORGADO A LOS FUNCIONARIOS PÚBLICOS.
</t>
        </r>
      </text>
    </comment>
    <comment ref="E105" authorId="2">
      <text>
        <r>
          <rPr>
            <b/>
            <sz val="8"/>
            <rFont val="Tahoma"/>
            <family val="0"/>
          </rPr>
          <t>Art.188, 1% y 3%</t>
        </r>
        <r>
          <rPr>
            <sz val="8"/>
            <rFont val="Tahoma"/>
            <family val="0"/>
          </rPr>
          <t xml:space="preserve">
</t>
        </r>
      </text>
    </comment>
    <comment ref="A108" authorId="2">
      <text>
        <r>
          <rPr>
            <b/>
            <sz val="8"/>
            <rFont val="Tahoma"/>
            <family val="0"/>
          </rPr>
          <t>DEDUCCIONES DE MENORES EN PASIVOS</t>
        </r>
        <r>
          <rPr>
            <sz val="8"/>
            <rFont val="Tahoma"/>
            <family val="0"/>
          </rPr>
          <t xml:space="preserve">
</t>
        </r>
      </text>
    </comment>
    <comment ref="E122" authorId="2">
      <text>
        <r>
          <rPr>
            <b/>
            <sz val="10"/>
            <rFont val="Tahoma"/>
            <family val="2"/>
          </rPr>
          <t>IMPORTE VIGENTE A ENERO DE 2007</t>
        </r>
        <r>
          <rPr>
            <sz val="8"/>
            <rFont val="Tahoma"/>
            <family val="0"/>
          </rPr>
          <t xml:space="preserve">
</t>
        </r>
      </text>
    </comment>
    <comment ref="E128" authorId="0">
      <text>
        <r>
          <rPr>
            <b/>
            <sz val="10"/>
            <rFont val="Tahoma"/>
            <family val="2"/>
          </rPr>
          <t>IMPORTE VIGENTE A ENERO 2007</t>
        </r>
        <r>
          <rPr>
            <sz val="8"/>
            <rFont val="Tahoma"/>
            <family val="0"/>
          </rPr>
          <t xml:space="preserve">
</t>
        </r>
      </text>
    </comment>
    <comment ref="E131" authorId="2">
      <text>
        <r>
          <rPr>
            <b/>
            <sz val="10"/>
            <rFont val="Tahoma"/>
            <family val="2"/>
          </rPr>
          <t>VALOR VIGENTE A FEBRERO 2007</t>
        </r>
        <r>
          <rPr>
            <sz val="8"/>
            <rFont val="Tahoma"/>
            <family val="0"/>
          </rPr>
          <t xml:space="preserve">
</t>
        </r>
      </text>
    </comment>
  </commentList>
</comments>
</file>

<file path=xl/comments14.xml><?xml version="1.0" encoding="utf-8"?>
<comments xmlns="http://schemas.openxmlformats.org/spreadsheetml/2006/main">
  <authors>
    <author>BPS</author>
    <author>pperdomo</author>
    <author>Pablo Perdomo</author>
  </authors>
  <commentList>
    <comment ref="G4" authorId="0">
      <text>
        <r>
          <rPr>
            <b/>
            <sz val="8"/>
            <rFont val="Tahoma"/>
            <family val="0"/>
          </rPr>
          <t>PARA CALCULAR EL IRPF, SIEMPRE HAY QUE LLENAR ESTA CELDA.
EN CASO DE MAS DE UN EMPLEO, SUMAR LOS NOMINALES</t>
        </r>
        <r>
          <rPr>
            <sz val="8"/>
            <rFont val="Tahoma"/>
            <family val="0"/>
          </rPr>
          <t xml:space="preserve">
</t>
        </r>
      </text>
    </comment>
    <comment ref="G6" authorId="0">
      <text>
        <r>
          <rPr>
            <b/>
            <sz val="10"/>
            <rFont val="Tahoma"/>
            <family val="2"/>
          </rPr>
          <t>ESTA CELDA ES IMPRESCINDIBLE LLENARLA, PARA CALCULAR CORRECTAMENTE EL APORTE AL SISTEMA NACIONAL INTEGRADO DE SALUD</t>
        </r>
        <r>
          <rPr>
            <sz val="8"/>
            <rFont val="Tahoma"/>
            <family val="0"/>
          </rPr>
          <t xml:space="preserve">
</t>
        </r>
      </text>
    </comment>
    <comment ref="G7" authorId="0">
      <text>
        <r>
          <rPr>
            <b/>
            <u val="single"/>
            <sz val="9"/>
            <rFont val="Tahoma"/>
            <family val="2"/>
          </rPr>
          <t>Nuevo régimen</t>
        </r>
        <r>
          <rPr>
            <b/>
            <sz val="8"/>
            <rFont val="Tahoma"/>
            <family val="2"/>
          </rPr>
          <t xml:space="preserve">: aquellos trabajadores que aportan al régimen de jubilación por solidaridad intergeneracional y al  régimen de jubilación por ahorro individual obligatorio, (AFAP).
</t>
        </r>
        <r>
          <rPr>
            <b/>
            <u val="single"/>
            <sz val="9"/>
            <rFont val="Tahoma"/>
            <family val="2"/>
          </rPr>
          <t>Régimen de transición</t>
        </r>
        <r>
          <rPr>
            <b/>
            <sz val="8"/>
            <rFont val="Tahoma"/>
            <family val="2"/>
          </rPr>
          <t xml:space="preserve">: aportan </t>
        </r>
        <r>
          <rPr>
            <b/>
            <u val="single"/>
            <sz val="8"/>
            <rFont val="Tahoma"/>
            <family val="2"/>
          </rPr>
          <t>solo</t>
        </r>
        <r>
          <rPr>
            <b/>
            <sz val="8"/>
            <rFont val="Tahoma"/>
            <family val="2"/>
          </rPr>
          <t xml:space="preserve"> al régimen de jubilación por solidaridad intergeneracional, (no a la AFAP)</t>
        </r>
        <r>
          <rPr>
            <sz val="8"/>
            <rFont val="Tahoma"/>
            <family val="0"/>
          </rPr>
          <t xml:space="preserve">
</t>
        </r>
      </text>
    </comment>
    <comment ref="G9" authorId="0">
      <text>
        <r>
          <rPr>
            <b/>
            <sz val="8"/>
            <rFont val="Tahoma"/>
            <family val="0"/>
          </rPr>
          <t>PARA PODER CALCULAR LAS DEDUCCIONES, SIEMPRE HAY QUE LLENAR ESTA CELDA, SI SE ES FUNCIONARIO PÚBLICO</t>
        </r>
        <r>
          <rPr>
            <sz val="8"/>
            <rFont val="Tahoma"/>
            <family val="0"/>
          </rPr>
          <t xml:space="preserve">
</t>
        </r>
      </text>
    </comment>
    <comment ref="G12" authorId="0">
      <text>
        <r>
          <rPr>
            <b/>
            <sz val="8"/>
            <rFont val="Tahoma"/>
            <family val="0"/>
          </rPr>
          <t>PARA PODER CALCULAR LAS DEDUCCIONES SIEMPRE SE DEBE LLENAR ESTA CELDA, SI SE ES TRABAJADOR PRIVADO</t>
        </r>
        <r>
          <rPr>
            <sz val="8"/>
            <rFont val="Tahoma"/>
            <family val="0"/>
          </rPr>
          <t xml:space="preserve">
</t>
        </r>
      </text>
    </comment>
    <comment ref="G16" authorId="0">
      <text>
        <r>
          <rPr>
            <b/>
            <sz val="8"/>
            <rFont val="Tahoma"/>
            <family val="2"/>
          </rPr>
          <t>ADEMAS DE LOS DECLARADOS LEGALMENTE, TAMBIEN ESTAN CONSIDERADOS, LOS CALIFICADOS CON "INCAPACIDAD SEVERA" POR EL B.P.S.</t>
        </r>
        <r>
          <rPr>
            <sz val="8"/>
            <rFont val="Tahoma"/>
            <family val="0"/>
          </rPr>
          <t xml:space="preserve">
</t>
        </r>
      </text>
    </comment>
    <comment ref="F55" authorId="1">
      <text>
        <r>
          <rPr>
            <sz val="8"/>
            <rFont val="Tahoma"/>
            <family val="0"/>
          </rPr>
          <t xml:space="preserve">RECUERDA ACTUALIZAR EL VALOR DE LA BASE DE PRESTACIONES Y CONTRIBUCIONES,  CUYO IMPORTE DECRETARÁ EL PODER EJECUTIVO EN CADA AUMENTO SALARIAL OTORGADO A LOS FUNCIONARIOS PÚBLICOS.
</t>
        </r>
      </text>
    </comment>
    <comment ref="E105" authorId="2">
      <text>
        <r>
          <rPr>
            <b/>
            <sz val="8"/>
            <rFont val="Tahoma"/>
            <family val="0"/>
          </rPr>
          <t>Art.188, 1% y 3%</t>
        </r>
        <r>
          <rPr>
            <sz val="8"/>
            <rFont val="Tahoma"/>
            <family val="0"/>
          </rPr>
          <t xml:space="preserve">
</t>
        </r>
      </text>
    </comment>
    <comment ref="A108" authorId="2">
      <text>
        <r>
          <rPr>
            <b/>
            <sz val="8"/>
            <rFont val="Tahoma"/>
            <family val="0"/>
          </rPr>
          <t>DEDUCCIONES DE MENORES EN PASIVOS</t>
        </r>
        <r>
          <rPr>
            <sz val="8"/>
            <rFont val="Tahoma"/>
            <family val="0"/>
          </rPr>
          <t xml:space="preserve">
</t>
        </r>
      </text>
    </comment>
    <comment ref="E122" authorId="2">
      <text>
        <r>
          <rPr>
            <b/>
            <sz val="10"/>
            <rFont val="Tahoma"/>
            <family val="2"/>
          </rPr>
          <t>IMPORTE VIGENTE A ENERO DE 2007</t>
        </r>
        <r>
          <rPr>
            <sz val="8"/>
            <rFont val="Tahoma"/>
            <family val="0"/>
          </rPr>
          <t xml:space="preserve">
</t>
        </r>
      </text>
    </comment>
    <comment ref="E128" authorId="0">
      <text>
        <r>
          <rPr>
            <b/>
            <sz val="10"/>
            <rFont val="Tahoma"/>
            <family val="2"/>
          </rPr>
          <t>IMPORTE VIGENTE A ENERO 2007</t>
        </r>
        <r>
          <rPr>
            <sz val="8"/>
            <rFont val="Tahoma"/>
            <family val="0"/>
          </rPr>
          <t xml:space="preserve">
</t>
        </r>
      </text>
    </comment>
    <comment ref="E131" authorId="2">
      <text>
        <r>
          <rPr>
            <b/>
            <sz val="10"/>
            <rFont val="Tahoma"/>
            <family val="2"/>
          </rPr>
          <t>VALOR VIGENTE A FEBRERO 2007</t>
        </r>
        <r>
          <rPr>
            <sz val="8"/>
            <rFont val="Tahoma"/>
            <family val="0"/>
          </rPr>
          <t xml:space="preserve">
</t>
        </r>
      </text>
    </comment>
  </commentList>
</comments>
</file>

<file path=xl/comments15.xml><?xml version="1.0" encoding="utf-8"?>
<comments xmlns="http://schemas.openxmlformats.org/spreadsheetml/2006/main">
  <authors>
    <author>BPS</author>
    <author>pperdomo</author>
    <author>Pablo Perdomo</author>
  </authors>
  <commentList>
    <comment ref="G4" authorId="0">
      <text>
        <r>
          <rPr>
            <b/>
            <sz val="8"/>
            <rFont val="Tahoma"/>
            <family val="0"/>
          </rPr>
          <t>PARA CALCULAR EL IRPF, SIEMPRE HAY QUE LLENAR ESTA CELDA.
EN CASO DE MAS DE UN EMPLEO, SUMAR LOS NOMINALES</t>
        </r>
        <r>
          <rPr>
            <sz val="8"/>
            <rFont val="Tahoma"/>
            <family val="0"/>
          </rPr>
          <t xml:space="preserve">
</t>
        </r>
      </text>
    </comment>
    <comment ref="G6" authorId="0">
      <text>
        <r>
          <rPr>
            <b/>
            <sz val="10"/>
            <rFont val="Tahoma"/>
            <family val="2"/>
          </rPr>
          <t>ESTA CELDA ES IMPRESCINDIBLE LLENARLA, PARA CALCULAR CORRECTAMENTE EL APORTE AL SISTEMA NACIONAL INTEGRADO DE SALUD</t>
        </r>
        <r>
          <rPr>
            <sz val="8"/>
            <rFont val="Tahoma"/>
            <family val="0"/>
          </rPr>
          <t xml:space="preserve">
</t>
        </r>
      </text>
    </comment>
    <comment ref="G7" authorId="0">
      <text>
        <r>
          <rPr>
            <b/>
            <u val="single"/>
            <sz val="9"/>
            <rFont val="Tahoma"/>
            <family val="2"/>
          </rPr>
          <t>Nuevo régimen</t>
        </r>
        <r>
          <rPr>
            <b/>
            <sz val="8"/>
            <rFont val="Tahoma"/>
            <family val="2"/>
          </rPr>
          <t xml:space="preserve">: aquellos trabajadores que aportan al régimen de jubilación por solidaridad intergeneracional y al  régimen de jubilación por ahorro individual obligatorio, (AFAP).
</t>
        </r>
        <r>
          <rPr>
            <b/>
            <u val="single"/>
            <sz val="9"/>
            <rFont val="Tahoma"/>
            <family val="2"/>
          </rPr>
          <t>Régimen de transición</t>
        </r>
        <r>
          <rPr>
            <b/>
            <sz val="8"/>
            <rFont val="Tahoma"/>
            <family val="2"/>
          </rPr>
          <t xml:space="preserve">: aportan </t>
        </r>
        <r>
          <rPr>
            <b/>
            <u val="single"/>
            <sz val="8"/>
            <rFont val="Tahoma"/>
            <family val="2"/>
          </rPr>
          <t>solo</t>
        </r>
        <r>
          <rPr>
            <b/>
            <sz val="8"/>
            <rFont val="Tahoma"/>
            <family val="2"/>
          </rPr>
          <t xml:space="preserve"> al régimen de jubilación por solidaridad intergeneracional, (no a la AFAP)</t>
        </r>
        <r>
          <rPr>
            <sz val="8"/>
            <rFont val="Tahoma"/>
            <family val="0"/>
          </rPr>
          <t xml:space="preserve">
</t>
        </r>
      </text>
    </comment>
    <comment ref="G9" authorId="0">
      <text>
        <r>
          <rPr>
            <b/>
            <sz val="8"/>
            <rFont val="Tahoma"/>
            <family val="0"/>
          </rPr>
          <t>PARA PODER CALCULAR LAS DEDUCCIONES, SIEMPRE HAY QUE LLENAR ESTA CELDA, SI SE ES FUNCIONARIO PÚBLICO</t>
        </r>
        <r>
          <rPr>
            <sz val="8"/>
            <rFont val="Tahoma"/>
            <family val="0"/>
          </rPr>
          <t xml:space="preserve">
</t>
        </r>
      </text>
    </comment>
    <comment ref="G12" authorId="0">
      <text>
        <r>
          <rPr>
            <b/>
            <sz val="8"/>
            <rFont val="Tahoma"/>
            <family val="0"/>
          </rPr>
          <t>PARA PODER CALCULAR LAS DEDUCCIONES SIEMPRE SE DEBE LLENAR ESTA CELDA, SI SE ES TRABAJADOR PRIVADO</t>
        </r>
        <r>
          <rPr>
            <sz val="8"/>
            <rFont val="Tahoma"/>
            <family val="0"/>
          </rPr>
          <t xml:space="preserve">
</t>
        </r>
      </text>
    </comment>
    <comment ref="G16" authorId="0">
      <text>
        <r>
          <rPr>
            <b/>
            <sz val="8"/>
            <rFont val="Tahoma"/>
            <family val="2"/>
          </rPr>
          <t>ADEMAS DE LOS DECLARADOS LEGALMENTE, TAMBIEN ESTAN CONSIDERADOS, LOS CALIFICADOS CON "INCAPACIDAD SEVERA" POR EL B.P.S.</t>
        </r>
        <r>
          <rPr>
            <sz val="8"/>
            <rFont val="Tahoma"/>
            <family val="0"/>
          </rPr>
          <t xml:space="preserve">
</t>
        </r>
      </text>
    </comment>
    <comment ref="F55" authorId="1">
      <text>
        <r>
          <rPr>
            <sz val="8"/>
            <rFont val="Tahoma"/>
            <family val="0"/>
          </rPr>
          <t xml:space="preserve">RECUERDA ACTUALIZAR EL VALOR DE LA BASE DE PRESTACIONES Y CONTRIBUCIONES,  CUYO IMPORTE DECRETARÁ EL PODER EJECUTIVO EN CADA AUMENTO SALARIAL OTORGADO A LOS FUNCIONARIOS PÚBLICOS.
</t>
        </r>
      </text>
    </comment>
    <comment ref="E105" authorId="2">
      <text>
        <r>
          <rPr>
            <b/>
            <sz val="8"/>
            <rFont val="Tahoma"/>
            <family val="0"/>
          </rPr>
          <t>Art.188, 1% y 3%</t>
        </r>
        <r>
          <rPr>
            <sz val="8"/>
            <rFont val="Tahoma"/>
            <family val="0"/>
          </rPr>
          <t xml:space="preserve">
</t>
        </r>
      </text>
    </comment>
    <comment ref="A108" authorId="2">
      <text>
        <r>
          <rPr>
            <b/>
            <sz val="8"/>
            <rFont val="Tahoma"/>
            <family val="0"/>
          </rPr>
          <t>DEDUCCIONES DE MENORES EN PASIVOS</t>
        </r>
        <r>
          <rPr>
            <sz val="8"/>
            <rFont val="Tahoma"/>
            <family val="0"/>
          </rPr>
          <t xml:space="preserve">
</t>
        </r>
      </text>
    </comment>
    <comment ref="E122" authorId="2">
      <text>
        <r>
          <rPr>
            <b/>
            <sz val="10"/>
            <rFont val="Tahoma"/>
            <family val="2"/>
          </rPr>
          <t>IMPORTE VIGENTE A ENERO DE 2007</t>
        </r>
        <r>
          <rPr>
            <sz val="8"/>
            <rFont val="Tahoma"/>
            <family val="0"/>
          </rPr>
          <t xml:space="preserve">
</t>
        </r>
      </text>
    </comment>
    <comment ref="E128" authorId="0">
      <text>
        <r>
          <rPr>
            <b/>
            <sz val="10"/>
            <rFont val="Tahoma"/>
            <family val="2"/>
          </rPr>
          <t>IMPORTE VIGENTE A ENERO 2007</t>
        </r>
        <r>
          <rPr>
            <sz val="8"/>
            <rFont val="Tahoma"/>
            <family val="0"/>
          </rPr>
          <t xml:space="preserve">
</t>
        </r>
      </text>
    </comment>
    <comment ref="E131" authorId="2">
      <text>
        <r>
          <rPr>
            <b/>
            <sz val="10"/>
            <rFont val="Tahoma"/>
            <family val="2"/>
          </rPr>
          <t>VALOR VIGENTE A FEBRERO 2007</t>
        </r>
        <r>
          <rPr>
            <sz val="8"/>
            <rFont val="Tahoma"/>
            <family val="0"/>
          </rPr>
          <t xml:space="preserve">
</t>
        </r>
      </text>
    </comment>
  </commentList>
</comments>
</file>

<file path=xl/comments2.xml><?xml version="1.0" encoding="utf-8"?>
<comments xmlns="http://schemas.openxmlformats.org/spreadsheetml/2006/main">
  <authors>
    <author>Pablo Perdomo</author>
  </authors>
  <commentList>
    <comment ref="A15" authorId="0">
      <text>
        <r>
          <rPr>
            <b/>
            <sz val="8"/>
            <rFont val="Tahoma"/>
            <family val="0"/>
          </rPr>
          <t>DEDUCCIONES DE MENORES EN PASIVOS</t>
        </r>
        <r>
          <rPr>
            <sz val="8"/>
            <rFont val="Tahoma"/>
            <family val="0"/>
          </rPr>
          <t xml:space="preserve">
</t>
        </r>
      </text>
    </comment>
    <comment ref="E12" authorId="0">
      <text>
        <r>
          <rPr>
            <b/>
            <sz val="8"/>
            <rFont val="Tahoma"/>
            <family val="0"/>
          </rPr>
          <t>Art.188, 1% y 3%</t>
        </r>
        <r>
          <rPr>
            <sz val="8"/>
            <rFont val="Tahoma"/>
            <family val="0"/>
          </rPr>
          <t xml:space="preserve">
</t>
        </r>
      </text>
    </comment>
    <comment ref="B1" authorId="0">
      <text>
        <r>
          <rPr>
            <b/>
            <sz val="10"/>
            <rFont val="Tahoma"/>
            <family val="2"/>
          </rPr>
          <t>CAMBIAR LOS IMPORTES, CUANDO EL PODER EJECUTIVO FIJE LOS NUEVOS VALORES.</t>
        </r>
        <r>
          <rPr>
            <sz val="8"/>
            <rFont val="Tahoma"/>
            <family val="0"/>
          </rPr>
          <t xml:space="preserve">
</t>
        </r>
      </text>
    </comment>
    <comment ref="E4" authorId="0">
      <text>
        <r>
          <rPr>
            <b/>
            <sz val="8"/>
            <rFont val="Tahoma"/>
            <family val="0"/>
          </rPr>
          <t xml:space="preserve">ATENCIÓN MEDICA A MENORES A CARGO:
</t>
        </r>
        <r>
          <rPr>
            <sz val="8"/>
            <rFont val="Tahoma"/>
            <family val="2"/>
          </rPr>
          <t xml:space="preserve">POR ATENCIÓN MÉDICA A LOS HIJOS MENORES DE EDAD A CARGO DEL CONTRIBUYENTE, SE PODRÁ DEDUCIR MEDIA B.P.C. POR MES </t>
        </r>
        <r>
          <rPr>
            <sz val="8"/>
            <rFont val="Tahoma"/>
            <family val="0"/>
          </rPr>
          <t xml:space="preserve">
</t>
        </r>
      </text>
    </comment>
    <comment ref="E9" authorId="0">
      <text>
        <r>
          <rPr>
            <b/>
            <sz val="8"/>
            <rFont val="Tahoma"/>
            <family val="0"/>
          </rPr>
          <t xml:space="preserve">ATENCIÓN MÉDICA PASIVOS </t>
        </r>
        <r>
          <rPr>
            <sz val="8"/>
            <rFont val="Tahoma"/>
            <family val="2"/>
          </rPr>
          <t>POR ATENCIÓN MÉDICA LOS JUBILADOS Y PENSIONISTAS PODRÁN DEDUCIR 1 B.P.C. POR MES.</t>
        </r>
        <r>
          <rPr>
            <sz val="8"/>
            <rFont val="Tahoma"/>
            <family val="0"/>
          </rPr>
          <t xml:space="preserve">
</t>
        </r>
      </text>
    </comment>
    <comment ref="E32" authorId="0">
      <text>
        <r>
          <rPr>
            <b/>
            <sz val="8"/>
            <rFont val="Tahoma"/>
            <family val="0"/>
          </rPr>
          <t xml:space="preserve">BASE de PRESTACIONES y CONTRIBUCIONES. 
</t>
        </r>
        <r>
          <rPr>
            <sz val="8"/>
            <rFont val="Tahoma"/>
            <family val="2"/>
          </rPr>
          <t>VARIA EN CADA OCACIÓN DE AUMENTO A LOS SALARIOS DE LOS FUNCIONARIOS PÚBLICOS.
PARA EL CALCULO DEL AJUSTE ANUAL DEL IMPUESTO, SE UTILIZARÁ LA B.P.C. PROMEDIO VIGENTE EN EL PERÍODO.</t>
        </r>
        <r>
          <rPr>
            <sz val="8"/>
            <rFont val="Tahoma"/>
            <family val="0"/>
          </rPr>
          <t xml:space="preserve">
</t>
        </r>
      </text>
    </comment>
    <comment ref="E45" authorId="0">
      <text>
        <r>
          <rPr>
            <b/>
            <sz val="8"/>
            <rFont val="Tahoma"/>
            <family val="0"/>
          </rPr>
          <t xml:space="preserve">TOPE CUOTA MUTUAL
</t>
        </r>
        <r>
          <rPr>
            <sz val="8"/>
            <rFont val="Tahoma"/>
            <family val="2"/>
          </rPr>
          <t>VALOR QUE HACE DE TOPE PARA ESTABLECER EL DERECHO A CUOTA MUTUAL DE AQUELLOS JUBILADOS QUE TUVIERON SU ÚLTIMA ACTIVIDAD LABORAL COMO DEPENDIENTES.
SU VALOR SE ACTUALIZA EN EL MISMO MOMENTO QUE LA B.P.C.</t>
        </r>
        <r>
          <rPr>
            <sz val="8"/>
            <rFont val="Tahoma"/>
            <family val="0"/>
          </rPr>
          <t xml:space="preserve">
</t>
        </r>
      </text>
    </comment>
    <comment ref="E57" authorId="0">
      <text>
        <r>
          <rPr>
            <b/>
            <sz val="8"/>
            <rFont val="Tahoma"/>
            <family val="0"/>
          </rPr>
          <t xml:space="preserve">TOPE TERCER NIVEL LEY 16,713.
</t>
        </r>
        <r>
          <rPr>
            <sz val="8"/>
            <rFont val="Tahoma"/>
            <family val="2"/>
          </rPr>
          <t xml:space="preserve">CIFRA HASTA LA CUAL SE CALCULAN  LOS APORTES PERSONALES, </t>
        </r>
        <r>
          <rPr>
            <b/>
            <sz val="8"/>
            <rFont val="Tahoma"/>
            <family val="2"/>
          </rPr>
          <t>SOLO</t>
        </r>
        <r>
          <rPr>
            <sz val="8"/>
            <rFont val="Tahoma"/>
            <family val="2"/>
          </rPr>
          <t xml:space="preserve"> PARA AQUELLOS TRABAJADORES QUE ESTÁN COMPRENDIDOS EN EL NUEVO RÉGIMEN, (SOLIDARIDAD INTERGENERACIONAL Y AFAP)
SE ACTUALIZA AL MES SIGUIENTE DE LA VIGENCIA DE LA NUEVA BPC</t>
        </r>
        <r>
          <rPr>
            <sz val="8"/>
            <rFont val="Tahoma"/>
            <family val="0"/>
          </rPr>
          <t xml:space="preserve">
</t>
        </r>
      </text>
    </comment>
  </commentList>
</comments>
</file>

<file path=xl/comments3.xml><?xml version="1.0" encoding="utf-8"?>
<comments xmlns="http://schemas.openxmlformats.org/spreadsheetml/2006/main">
  <authors>
    <author>BPS</author>
    <author>pperdomo</author>
    <author>Pablo Perdomo</author>
  </authors>
  <commentList>
    <comment ref="G4" authorId="0">
      <text>
        <r>
          <rPr>
            <b/>
            <sz val="8"/>
            <rFont val="Tahoma"/>
            <family val="0"/>
          </rPr>
          <t>PARA CALCULAR EL IRPF, SIEMPRE HAY QUE LLENAR ESTA CELDA.
EN CASO DE MAS DE UN EMPLEO, SUMAR LOS NOMINALES</t>
        </r>
        <r>
          <rPr>
            <sz val="8"/>
            <rFont val="Tahoma"/>
            <family val="0"/>
          </rPr>
          <t xml:space="preserve">
</t>
        </r>
      </text>
    </comment>
    <comment ref="G6" authorId="0">
      <text>
        <r>
          <rPr>
            <b/>
            <sz val="10"/>
            <rFont val="Tahoma"/>
            <family val="2"/>
          </rPr>
          <t>ESTA CELDA ES IMPRESCINDIBLE LLENARLA, PARA CALCULAR CORRECTAMENTE EL APORTE AL SISTEMA NACIONAL INTEGRADO DE SALUD</t>
        </r>
        <r>
          <rPr>
            <sz val="8"/>
            <rFont val="Tahoma"/>
            <family val="0"/>
          </rPr>
          <t xml:space="preserve">
</t>
        </r>
      </text>
    </comment>
    <comment ref="G7" authorId="0">
      <text>
        <r>
          <rPr>
            <b/>
            <u val="single"/>
            <sz val="9"/>
            <rFont val="Tahoma"/>
            <family val="2"/>
          </rPr>
          <t>Nuevo régimen</t>
        </r>
        <r>
          <rPr>
            <b/>
            <sz val="8"/>
            <rFont val="Tahoma"/>
            <family val="2"/>
          </rPr>
          <t xml:space="preserve">: aquellos trabajadores que aportan al régimen de jubilación por solidaridad intergeneracional y al  régimen de jubilación por ahorro individual obligatorio, (AFAP).
</t>
        </r>
        <r>
          <rPr>
            <b/>
            <u val="single"/>
            <sz val="9"/>
            <rFont val="Tahoma"/>
            <family val="2"/>
          </rPr>
          <t>Régimen de transición</t>
        </r>
        <r>
          <rPr>
            <b/>
            <sz val="8"/>
            <rFont val="Tahoma"/>
            <family val="2"/>
          </rPr>
          <t xml:space="preserve">: aportan </t>
        </r>
        <r>
          <rPr>
            <b/>
            <u val="single"/>
            <sz val="8"/>
            <rFont val="Tahoma"/>
            <family val="2"/>
          </rPr>
          <t>solo</t>
        </r>
        <r>
          <rPr>
            <b/>
            <sz val="8"/>
            <rFont val="Tahoma"/>
            <family val="2"/>
          </rPr>
          <t xml:space="preserve"> al régimen de jubilación por solidaridad intergeneracional, (no a la AFAP)</t>
        </r>
        <r>
          <rPr>
            <sz val="8"/>
            <rFont val="Tahoma"/>
            <family val="0"/>
          </rPr>
          <t xml:space="preserve">
</t>
        </r>
      </text>
    </comment>
    <comment ref="G9" authorId="0">
      <text>
        <r>
          <rPr>
            <b/>
            <sz val="8"/>
            <rFont val="Tahoma"/>
            <family val="0"/>
          </rPr>
          <t>PARA PODER CALCULAR LAS DEDUCCIONES, SIEMPRE HAY QUE LLENAR ESTA CELDA, SI SE ES FUNCIONARIO PÚBLICO</t>
        </r>
        <r>
          <rPr>
            <sz val="8"/>
            <rFont val="Tahoma"/>
            <family val="0"/>
          </rPr>
          <t xml:space="preserve">
</t>
        </r>
      </text>
    </comment>
    <comment ref="G12" authorId="0">
      <text>
        <r>
          <rPr>
            <b/>
            <sz val="8"/>
            <rFont val="Tahoma"/>
            <family val="0"/>
          </rPr>
          <t>PARA PODER CALCULAR LAS DEDUCCIONES SIEMPRE SE DEBE LLENAR ESTA CELDA, SI SE ES TRABAJADOR PRIVADO</t>
        </r>
        <r>
          <rPr>
            <sz val="8"/>
            <rFont val="Tahoma"/>
            <family val="0"/>
          </rPr>
          <t xml:space="preserve">
</t>
        </r>
      </text>
    </comment>
    <comment ref="G16" authorId="0">
      <text>
        <r>
          <rPr>
            <b/>
            <sz val="8"/>
            <rFont val="Tahoma"/>
            <family val="2"/>
          </rPr>
          <t>ADEMAS DE LOS DECLARADOS LEGALMENTE, TAMBIEN ESTAN CONSIDERADOS, LOS CALIFICADOS CON "INCAPACIDAD SEVERA" POR EL B.P.S.</t>
        </r>
        <r>
          <rPr>
            <sz val="8"/>
            <rFont val="Tahoma"/>
            <family val="0"/>
          </rPr>
          <t xml:space="preserve">
</t>
        </r>
      </text>
    </comment>
    <comment ref="F55" authorId="1">
      <text>
        <r>
          <rPr>
            <sz val="8"/>
            <rFont val="Tahoma"/>
            <family val="0"/>
          </rPr>
          <t xml:space="preserve">RECUERDA ACTUALIZAR EL VALOR DE LA BASE DE PRESTACIONES Y CONTRIBUCIONES,  CUYO IMPORTE DECRETARÁ EL PODER EJECUTIVO EN CADA AUMENTO SALARIAL OTORGADO A LOS FUNCIONARIOS PÚBLICOS.
</t>
        </r>
      </text>
    </comment>
    <comment ref="E105" authorId="2">
      <text>
        <r>
          <rPr>
            <b/>
            <sz val="8"/>
            <rFont val="Tahoma"/>
            <family val="0"/>
          </rPr>
          <t>Art.188, 1% y 3%</t>
        </r>
        <r>
          <rPr>
            <sz val="8"/>
            <rFont val="Tahoma"/>
            <family val="0"/>
          </rPr>
          <t xml:space="preserve">
</t>
        </r>
      </text>
    </comment>
    <comment ref="A108" authorId="2">
      <text>
        <r>
          <rPr>
            <b/>
            <sz val="8"/>
            <rFont val="Tahoma"/>
            <family val="0"/>
          </rPr>
          <t>DEDUCCIONES DE MENORES EN PASIVOS</t>
        </r>
        <r>
          <rPr>
            <sz val="8"/>
            <rFont val="Tahoma"/>
            <family val="0"/>
          </rPr>
          <t xml:space="preserve">
</t>
        </r>
      </text>
    </comment>
    <comment ref="E122" authorId="2">
      <text>
        <r>
          <rPr>
            <b/>
            <sz val="10"/>
            <rFont val="Tahoma"/>
            <family val="2"/>
          </rPr>
          <t>IMPORTE VIGENTE A ENERO DE 2007</t>
        </r>
        <r>
          <rPr>
            <sz val="8"/>
            <rFont val="Tahoma"/>
            <family val="0"/>
          </rPr>
          <t xml:space="preserve">
</t>
        </r>
      </text>
    </comment>
    <comment ref="E128" authorId="0">
      <text>
        <r>
          <rPr>
            <b/>
            <sz val="10"/>
            <rFont val="Tahoma"/>
            <family val="2"/>
          </rPr>
          <t>IMPORTE VIGENTE A ENERO 2007</t>
        </r>
        <r>
          <rPr>
            <sz val="8"/>
            <rFont val="Tahoma"/>
            <family val="0"/>
          </rPr>
          <t xml:space="preserve">
</t>
        </r>
      </text>
    </comment>
    <comment ref="E131" authorId="2">
      <text>
        <r>
          <rPr>
            <b/>
            <sz val="10"/>
            <rFont val="Tahoma"/>
            <family val="2"/>
          </rPr>
          <t>VALOR VIGENTE A FEBRERO 2007</t>
        </r>
        <r>
          <rPr>
            <sz val="8"/>
            <rFont val="Tahoma"/>
            <family val="0"/>
          </rPr>
          <t xml:space="preserve">
</t>
        </r>
      </text>
    </comment>
  </commentList>
</comments>
</file>

<file path=xl/comments4.xml><?xml version="1.0" encoding="utf-8"?>
<comments xmlns="http://schemas.openxmlformats.org/spreadsheetml/2006/main">
  <authors>
    <author>BPS</author>
    <author>pperdomo</author>
    <author>Pablo Perdomo</author>
  </authors>
  <commentList>
    <comment ref="G4" authorId="0">
      <text>
        <r>
          <rPr>
            <b/>
            <sz val="8"/>
            <rFont val="Tahoma"/>
            <family val="0"/>
          </rPr>
          <t>PARA CALCULAR EL IRPF, SIEMPRE HAY QUE LLENAR ESTA CELDA.
EN CASO DE MAS DE UN EMPLEO, SUMAR LOS NOMINALES</t>
        </r>
        <r>
          <rPr>
            <sz val="8"/>
            <rFont val="Tahoma"/>
            <family val="0"/>
          </rPr>
          <t xml:space="preserve">
</t>
        </r>
      </text>
    </comment>
    <comment ref="G6" authorId="0">
      <text>
        <r>
          <rPr>
            <b/>
            <sz val="10"/>
            <rFont val="Tahoma"/>
            <family val="2"/>
          </rPr>
          <t>ESTA CELDA ES IMPRESCINDIBLE LLENARLA, PARA CALCULAR CORRECTAMENTE EL APORTE AL SISTEMA NACIONAL INTEGRADO DE SALUD</t>
        </r>
        <r>
          <rPr>
            <sz val="8"/>
            <rFont val="Tahoma"/>
            <family val="0"/>
          </rPr>
          <t xml:space="preserve">
</t>
        </r>
      </text>
    </comment>
    <comment ref="G7" authorId="0">
      <text>
        <r>
          <rPr>
            <b/>
            <u val="single"/>
            <sz val="9"/>
            <rFont val="Tahoma"/>
            <family val="2"/>
          </rPr>
          <t>Nuevo régimen</t>
        </r>
        <r>
          <rPr>
            <b/>
            <sz val="8"/>
            <rFont val="Tahoma"/>
            <family val="2"/>
          </rPr>
          <t xml:space="preserve">: aquellos trabajadores que aportan al régimen de jubilación por solidaridad intergeneracional y al  régimen de jubilación por ahorro individual obligatorio, (AFAP).
</t>
        </r>
        <r>
          <rPr>
            <b/>
            <u val="single"/>
            <sz val="9"/>
            <rFont val="Tahoma"/>
            <family val="2"/>
          </rPr>
          <t>Régimen de transición</t>
        </r>
        <r>
          <rPr>
            <b/>
            <sz val="8"/>
            <rFont val="Tahoma"/>
            <family val="2"/>
          </rPr>
          <t xml:space="preserve">: aportan </t>
        </r>
        <r>
          <rPr>
            <b/>
            <u val="single"/>
            <sz val="8"/>
            <rFont val="Tahoma"/>
            <family val="2"/>
          </rPr>
          <t>solo</t>
        </r>
        <r>
          <rPr>
            <b/>
            <sz val="8"/>
            <rFont val="Tahoma"/>
            <family val="2"/>
          </rPr>
          <t xml:space="preserve"> al régimen de jubilación por solidaridad intergeneracional, (no a la AFAP)</t>
        </r>
        <r>
          <rPr>
            <sz val="8"/>
            <rFont val="Tahoma"/>
            <family val="0"/>
          </rPr>
          <t xml:space="preserve">
</t>
        </r>
      </text>
    </comment>
    <comment ref="G9" authorId="0">
      <text>
        <r>
          <rPr>
            <b/>
            <sz val="8"/>
            <rFont val="Tahoma"/>
            <family val="0"/>
          </rPr>
          <t>PARA PODER CALCULAR LAS DEDUCCIONES, SIEMPRE HAY QUE LLENAR ESTA CELDA, SI SE ES FUNCIONARIO PÚBLICO</t>
        </r>
        <r>
          <rPr>
            <sz val="8"/>
            <rFont val="Tahoma"/>
            <family val="0"/>
          </rPr>
          <t xml:space="preserve">
</t>
        </r>
      </text>
    </comment>
    <comment ref="G12" authorId="0">
      <text>
        <r>
          <rPr>
            <b/>
            <sz val="8"/>
            <rFont val="Tahoma"/>
            <family val="0"/>
          </rPr>
          <t>PARA PODER CALCULAR LAS DEDUCCIONES SIEMPRE SE DEBE LLENAR ESTA CELDA, SI SE ES TRABAJADOR PRIVADO</t>
        </r>
        <r>
          <rPr>
            <sz val="8"/>
            <rFont val="Tahoma"/>
            <family val="0"/>
          </rPr>
          <t xml:space="preserve">
</t>
        </r>
      </text>
    </comment>
    <comment ref="G16" authorId="0">
      <text>
        <r>
          <rPr>
            <b/>
            <sz val="8"/>
            <rFont val="Tahoma"/>
            <family val="2"/>
          </rPr>
          <t>ADEMAS DE LOS DECLARADOS LEGALMENTE, TAMBIEN ESTAN CONSIDERADOS, LOS CALIFICADOS CON "INCAPACIDAD SEVERA" POR EL B.P.S.</t>
        </r>
        <r>
          <rPr>
            <sz val="8"/>
            <rFont val="Tahoma"/>
            <family val="0"/>
          </rPr>
          <t xml:space="preserve">
</t>
        </r>
      </text>
    </comment>
    <comment ref="F55" authorId="1">
      <text>
        <r>
          <rPr>
            <sz val="8"/>
            <rFont val="Tahoma"/>
            <family val="0"/>
          </rPr>
          <t xml:space="preserve">RECUERDA ACTUALIZAR EL VALOR DE LA BASE DE PRESTACIONES Y CONTRIBUCIONES,  CUYO IMPORTE DECRETARÁ EL PODER EJECUTIVO EN CADA AUMENTO SALARIAL OTORGADO A LOS FUNCIONARIOS PÚBLICOS.
</t>
        </r>
      </text>
    </comment>
    <comment ref="E105" authorId="2">
      <text>
        <r>
          <rPr>
            <b/>
            <sz val="8"/>
            <rFont val="Tahoma"/>
            <family val="0"/>
          </rPr>
          <t>Art.188, 1% y 3%</t>
        </r>
        <r>
          <rPr>
            <sz val="8"/>
            <rFont val="Tahoma"/>
            <family val="0"/>
          </rPr>
          <t xml:space="preserve">
</t>
        </r>
      </text>
    </comment>
    <comment ref="A108" authorId="2">
      <text>
        <r>
          <rPr>
            <b/>
            <sz val="8"/>
            <rFont val="Tahoma"/>
            <family val="0"/>
          </rPr>
          <t>DEDUCCIONES DE MENORES EN PASIVOS</t>
        </r>
        <r>
          <rPr>
            <sz val="8"/>
            <rFont val="Tahoma"/>
            <family val="0"/>
          </rPr>
          <t xml:space="preserve">
</t>
        </r>
      </text>
    </comment>
    <comment ref="E122" authorId="2">
      <text>
        <r>
          <rPr>
            <b/>
            <sz val="10"/>
            <rFont val="Tahoma"/>
            <family val="2"/>
          </rPr>
          <t>IMPORTE VIGENTE A ENERO DE 2007</t>
        </r>
        <r>
          <rPr>
            <sz val="8"/>
            <rFont val="Tahoma"/>
            <family val="0"/>
          </rPr>
          <t xml:space="preserve">
</t>
        </r>
      </text>
    </comment>
    <comment ref="E128" authorId="0">
      <text>
        <r>
          <rPr>
            <b/>
            <sz val="10"/>
            <rFont val="Tahoma"/>
            <family val="2"/>
          </rPr>
          <t>IMPORTE VIGENTE A ENERO 2007</t>
        </r>
        <r>
          <rPr>
            <sz val="8"/>
            <rFont val="Tahoma"/>
            <family val="0"/>
          </rPr>
          <t xml:space="preserve">
</t>
        </r>
      </text>
    </comment>
    <comment ref="E131" authorId="2">
      <text>
        <r>
          <rPr>
            <b/>
            <sz val="10"/>
            <rFont val="Tahoma"/>
            <family val="2"/>
          </rPr>
          <t>VALOR VIGENTE A FEBRERO 2007</t>
        </r>
        <r>
          <rPr>
            <sz val="8"/>
            <rFont val="Tahoma"/>
            <family val="0"/>
          </rPr>
          <t xml:space="preserve">
</t>
        </r>
      </text>
    </comment>
  </commentList>
</comments>
</file>

<file path=xl/comments5.xml><?xml version="1.0" encoding="utf-8"?>
<comments xmlns="http://schemas.openxmlformats.org/spreadsheetml/2006/main">
  <authors>
    <author>BPS</author>
    <author>pperdomo</author>
    <author>Pablo Perdomo</author>
  </authors>
  <commentList>
    <comment ref="G4" authorId="0">
      <text>
        <r>
          <rPr>
            <b/>
            <sz val="8"/>
            <rFont val="Tahoma"/>
            <family val="0"/>
          </rPr>
          <t>PARA CALCULAR EL IRPF, SIEMPRE HAY QUE LLENAR ESTA CELDA.
EN CASO DE MAS DE UN EMPLEO, SUMAR LOS NOMINALES</t>
        </r>
        <r>
          <rPr>
            <sz val="8"/>
            <rFont val="Tahoma"/>
            <family val="0"/>
          </rPr>
          <t xml:space="preserve">
</t>
        </r>
      </text>
    </comment>
    <comment ref="G6" authorId="0">
      <text>
        <r>
          <rPr>
            <b/>
            <sz val="10"/>
            <rFont val="Tahoma"/>
            <family val="2"/>
          </rPr>
          <t>ESTA CELDA ES IMPRESCINDIBLE LLENARLA, PARA CALCULAR CORRECTAMENTE EL APORTE AL SISTEMA NACIONAL INTEGRADO DE SALUD</t>
        </r>
        <r>
          <rPr>
            <sz val="8"/>
            <rFont val="Tahoma"/>
            <family val="0"/>
          </rPr>
          <t xml:space="preserve">
</t>
        </r>
      </text>
    </comment>
    <comment ref="G7" authorId="0">
      <text>
        <r>
          <rPr>
            <b/>
            <u val="single"/>
            <sz val="9"/>
            <rFont val="Tahoma"/>
            <family val="2"/>
          </rPr>
          <t>Nuevo régimen</t>
        </r>
        <r>
          <rPr>
            <b/>
            <sz val="8"/>
            <rFont val="Tahoma"/>
            <family val="2"/>
          </rPr>
          <t xml:space="preserve">: aquellos trabajadores que aportan al régimen de jubilación por solidaridad intergeneracional y al  régimen de jubilación por ahorro individual obligatorio, (AFAP).
</t>
        </r>
        <r>
          <rPr>
            <b/>
            <u val="single"/>
            <sz val="9"/>
            <rFont val="Tahoma"/>
            <family val="2"/>
          </rPr>
          <t>Régimen de transición</t>
        </r>
        <r>
          <rPr>
            <b/>
            <sz val="8"/>
            <rFont val="Tahoma"/>
            <family val="2"/>
          </rPr>
          <t xml:space="preserve">: aportan </t>
        </r>
        <r>
          <rPr>
            <b/>
            <u val="single"/>
            <sz val="8"/>
            <rFont val="Tahoma"/>
            <family val="2"/>
          </rPr>
          <t>solo</t>
        </r>
        <r>
          <rPr>
            <b/>
            <sz val="8"/>
            <rFont val="Tahoma"/>
            <family val="2"/>
          </rPr>
          <t xml:space="preserve"> al régimen de jubilación por solidaridad intergeneracional, (no a la AFAP)</t>
        </r>
        <r>
          <rPr>
            <sz val="8"/>
            <rFont val="Tahoma"/>
            <family val="0"/>
          </rPr>
          <t xml:space="preserve">
</t>
        </r>
      </text>
    </comment>
    <comment ref="G9" authorId="0">
      <text>
        <r>
          <rPr>
            <b/>
            <sz val="8"/>
            <rFont val="Tahoma"/>
            <family val="0"/>
          </rPr>
          <t>PARA PODER CALCULAR LAS DEDUCCIONES, SIEMPRE HAY QUE LLENAR ESTA CELDA, SI SE ES FUNCIONARIO PÚBLICO</t>
        </r>
        <r>
          <rPr>
            <sz val="8"/>
            <rFont val="Tahoma"/>
            <family val="0"/>
          </rPr>
          <t xml:space="preserve">
</t>
        </r>
      </text>
    </comment>
    <comment ref="G12" authorId="0">
      <text>
        <r>
          <rPr>
            <b/>
            <sz val="8"/>
            <rFont val="Tahoma"/>
            <family val="0"/>
          </rPr>
          <t>PARA PODER CALCULAR LAS DEDUCCIONES SIEMPRE SE DEBE LLENAR ESTA CELDA, SI SE ES TRABAJADOR PRIVADO</t>
        </r>
        <r>
          <rPr>
            <sz val="8"/>
            <rFont val="Tahoma"/>
            <family val="0"/>
          </rPr>
          <t xml:space="preserve">
</t>
        </r>
      </text>
    </comment>
    <comment ref="G16" authorId="0">
      <text>
        <r>
          <rPr>
            <b/>
            <sz val="8"/>
            <rFont val="Tahoma"/>
            <family val="2"/>
          </rPr>
          <t>ADEMAS DE LOS DECLARADOS LEGALMENTE, TAMBIEN ESTAN CONSIDERADOS, LOS CALIFICADOS CON "INCAPACIDAD SEVERA" POR EL B.P.S.</t>
        </r>
        <r>
          <rPr>
            <sz val="8"/>
            <rFont val="Tahoma"/>
            <family val="0"/>
          </rPr>
          <t xml:space="preserve">
</t>
        </r>
      </text>
    </comment>
    <comment ref="F55" authorId="1">
      <text>
        <r>
          <rPr>
            <sz val="8"/>
            <rFont val="Tahoma"/>
            <family val="0"/>
          </rPr>
          <t xml:space="preserve">RECUERDA ACTUALIZAR EL VALOR DE LA BASE DE PRESTACIONES Y CONTRIBUCIONES,  CUYO IMPORTE DECRETARÁ EL PODER EJECUTIVO EN CADA AUMENTO SALARIAL OTORGADO A LOS FUNCIONARIOS PÚBLICOS.
</t>
        </r>
      </text>
    </comment>
    <comment ref="E105" authorId="2">
      <text>
        <r>
          <rPr>
            <b/>
            <sz val="8"/>
            <rFont val="Tahoma"/>
            <family val="0"/>
          </rPr>
          <t>Art.188, 1% y 3%</t>
        </r>
        <r>
          <rPr>
            <sz val="8"/>
            <rFont val="Tahoma"/>
            <family val="0"/>
          </rPr>
          <t xml:space="preserve">
</t>
        </r>
      </text>
    </comment>
    <comment ref="A108" authorId="2">
      <text>
        <r>
          <rPr>
            <b/>
            <sz val="8"/>
            <rFont val="Tahoma"/>
            <family val="0"/>
          </rPr>
          <t>DEDUCCIONES DE MENORES EN PASIVOS</t>
        </r>
        <r>
          <rPr>
            <sz val="8"/>
            <rFont val="Tahoma"/>
            <family val="0"/>
          </rPr>
          <t xml:space="preserve">
</t>
        </r>
      </text>
    </comment>
    <comment ref="E122" authorId="2">
      <text>
        <r>
          <rPr>
            <b/>
            <sz val="10"/>
            <rFont val="Tahoma"/>
            <family val="2"/>
          </rPr>
          <t>IMPORTE VIGENTE A ENERO DE 2007</t>
        </r>
        <r>
          <rPr>
            <sz val="8"/>
            <rFont val="Tahoma"/>
            <family val="0"/>
          </rPr>
          <t xml:space="preserve">
</t>
        </r>
      </text>
    </comment>
    <comment ref="E128" authorId="0">
      <text>
        <r>
          <rPr>
            <b/>
            <sz val="10"/>
            <rFont val="Tahoma"/>
            <family val="2"/>
          </rPr>
          <t>IMPORTE VIGENTE A ENERO 2007</t>
        </r>
        <r>
          <rPr>
            <sz val="8"/>
            <rFont val="Tahoma"/>
            <family val="0"/>
          </rPr>
          <t xml:space="preserve">
</t>
        </r>
      </text>
    </comment>
    <comment ref="E131" authorId="2">
      <text>
        <r>
          <rPr>
            <b/>
            <sz val="10"/>
            <rFont val="Tahoma"/>
            <family val="2"/>
          </rPr>
          <t>VALOR VIGENTE A FEBRERO 2007</t>
        </r>
        <r>
          <rPr>
            <sz val="8"/>
            <rFont val="Tahoma"/>
            <family val="0"/>
          </rPr>
          <t xml:space="preserve">
</t>
        </r>
      </text>
    </comment>
  </commentList>
</comments>
</file>

<file path=xl/comments6.xml><?xml version="1.0" encoding="utf-8"?>
<comments xmlns="http://schemas.openxmlformats.org/spreadsheetml/2006/main">
  <authors>
    <author>BPS</author>
    <author>pperdomo</author>
    <author>Pablo Perdomo</author>
  </authors>
  <commentList>
    <comment ref="G4" authorId="0">
      <text>
        <r>
          <rPr>
            <b/>
            <sz val="8"/>
            <rFont val="Tahoma"/>
            <family val="0"/>
          </rPr>
          <t>PARA CALCULAR EL IRPF, SIEMPRE HAY QUE LLENAR ESTA CELDA.
EN CASO DE MAS DE UN EMPLEO, SUMAR LOS NOMINALES</t>
        </r>
        <r>
          <rPr>
            <sz val="8"/>
            <rFont val="Tahoma"/>
            <family val="0"/>
          </rPr>
          <t xml:space="preserve">
</t>
        </r>
      </text>
    </comment>
    <comment ref="G6" authorId="0">
      <text>
        <r>
          <rPr>
            <b/>
            <sz val="10"/>
            <rFont val="Tahoma"/>
            <family val="2"/>
          </rPr>
          <t>ESTA CELDA ES IMPRESCINDIBLE LLENARLA, PARA CALCULAR CORRECTAMENTE EL APORTE AL SISTEMA NACIONAL INTEGRADO DE SALUD</t>
        </r>
        <r>
          <rPr>
            <sz val="8"/>
            <rFont val="Tahoma"/>
            <family val="0"/>
          </rPr>
          <t xml:space="preserve">
</t>
        </r>
      </text>
    </comment>
    <comment ref="G7" authorId="0">
      <text>
        <r>
          <rPr>
            <b/>
            <u val="single"/>
            <sz val="9"/>
            <rFont val="Tahoma"/>
            <family val="2"/>
          </rPr>
          <t>Nuevo régimen</t>
        </r>
        <r>
          <rPr>
            <b/>
            <sz val="8"/>
            <rFont val="Tahoma"/>
            <family val="2"/>
          </rPr>
          <t xml:space="preserve">: aquellos trabajadores que aportan al régimen de jubilación por solidaridad intergeneracional y al  régimen de jubilación por ahorro individual obligatorio, (AFAP).
</t>
        </r>
        <r>
          <rPr>
            <b/>
            <u val="single"/>
            <sz val="9"/>
            <rFont val="Tahoma"/>
            <family val="2"/>
          </rPr>
          <t>Régimen de transición</t>
        </r>
        <r>
          <rPr>
            <b/>
            <sz val="8"/>
            <rFont val="Tahoma"/>
            <family val="2"/>
          </rPr>
          <t xml:space="preserve">: aportan </t>
        </r>
        <r>
          <rPr>
            <b/>
            <u val="single"/>
            <sz val="8"/>
            <rFont val="Tahoma"/>
            <family val="2"/>
          </rPr>
          <t>solo</t>
        </r>
        <r>
          <rPr>
            <b/>
            <sz val="8"/>
            <rFont val="Tahoma"/>
            <family val="2"/>
          </rPr>
          <t xml:space="preserve"> al régimen de jubilación por solidaridad intergeneracional, (no a la AFAP)</t>
        </r>
        <r>
          <rPr>
            <sz val="8"/>
            <rFont val="Tahoma"/>
            <family val="0"/>
          </rPr>
          <t xml:space="preserve">
</t>
        </r>
      </text>
    </comment>
    <comment ref="G9" authorId="0">
      <text>
        <r>
          <rPr>
            <b/>
            <sz val="8"/>
            <rFont val="Tahoma"/>
            <family val="0"/>
          </rPr>
          <t>PARA PODER CALCULAR LAS DEDUCCIONES, SIEMPRE HAY QUE LLENAR ESTA CELDA, SI SE ES FUNCIONARIO PÚBLICO</t>
        </r>
        <r>
          <rPr>
            <sz val="8"/>
            <rFont val="Tahoma"/>
            <family val="0"/>
          </rPr>
          <t xml:space="preserve">
</t>
        </r>
      </text>
    </comment>
    <comment ref="G12" authorId="0">
      <text>
        <r>
          <rPr>
            <b/>
            <sz val="8"/>
            <rFont val="Tahoma"/>
            <family val="0"/>
          </rPr>
          <t>PARA PODER CALCULAR LAS DEDUCCIONES SIEMPRE SE DEBE LLENAR ESTA CELDA, SI SE ES TRABAJADOR PRIVADO</t>
        </r>
        <r>
          <rPr>
            <sz val="8"/>
            <rFont val="Tahoma"/>
            <family val="0"/>
          </rPr>
          <t xml:space="preserve">
</t>
        </r>
      </text>
    </comment>
    <comment ref="G16" authorId="0">
      <text>
        <r>
          <rPr>
            <b/>
            <sz val="8"/>
            <rFont val="Tahoma"/>
            <family val="2"/>
          </rPr>
          <t>ADEMAS DE LOS DECLARADOS LEGALMENTE, TAMBIEN ESTAN CONSIDERADOS, LOS CALIFICADOS CON "INCAPACIDAD SEVERA" POR EL B.P.S.</t>
        </r>
        <r>
          <rPr>
            <sz val="8"/>
            <rFont val="Tahoma"/>
            <family val="0"/>
          </rPr>
          <t xml:space="preserve">
</t>
        </r>
      </text>
    </comment>
    <comment ref="F55" authorId="1">
      <text>
        <r>
          <rPr>
            <sz val="8"/>
            <rFont val="Tahoma"/>
            <family val="0"/>
          </rPr>
          <t xml:space="preserve">RECUERDA ACTUALIZAR EL VALOR DE LA BASE DE PRESTACIONES Y CONTRIBUCIONES,  CUYO IMPORTE DECRETARÁ EL PODER EJECUTIVO EN CADA AUMENTO SALARIAL OTORGADO A LOS FUNCIONARIOS PÚBLICOS.
</t>
        </r>
      </text>
    </comment>
    <comment ref="E105" authorId="2">
      <text>
        <r>
          <rPr>
            <b/>
            <sz val="8"/>
            <rFont val="Tahoma"/>
            <family val="0"/>
          </rPr>
          <t>Art.188, 1% y 3%</t>
        </r>
        <r>
          <rPr>
            <sz val="8"/>
            <rFont val="Tahoma"/>
            <family val="0"/>
          </rPr>
          <t xml:space="preserve">
</t>
        </r>
      </text>
    </comment>
    <comment ref="A108" authorId="2">
      <text>
        <r>
          <rPr>
            <b/>
            <sz val="8"/>
            <rFont val="Tahoma"/>
            <family val="0"/>
          </rPr>
          <t>DEDUCCIONES DE MENORES EN PASIVOS</t>
        </r>
        <r>
          <rPr>
            <sz val="8"/>
            <rFont val="Tahoma"/>
            <family val="0"/>
          </rPr>
          <t xml:space="preserve">
</t>
        </r>
      </text>
    </comment>
    <comment ref="E122" authorId="2">
      <text>
        <r>
          <rPr>
            <b/>
            <sz val="10"/>
            <rFont val="Tahoma"/>
            <family val="2"/>
          </rPr>
          <t>IMPORTE VIGENTE A ENERO DE 2007</t>
        </r>
        <r>
          <rPr>
            <sz val="8"/>
            <rFont val="Tahoma"/>
            <family val="0"/>
          </rPr>
          <t xml:space="preserve">
</t>
        </r>
      </text>
    </comment>
    <comment ref="E128" authorId="0">
      <text>
        <r>
          <rPr>
            <b/>
            <sz val="10"/>
            <rFont val="Tahoma"/>
            <family val="2"/>
          </rPr>
          <t>IMPORTE VIGENTE A ENERO 2007</t>
        </r>
        <r>
          <rPr>
            <sz val="8"/>
            <rFont val="Tahoma"/>
            <family val="0"/>
          </rPr>
          <t xml:space="preserve">
</t>
        </r>
      </text>
    </comment>
    <comment ref="E131" authorId="2">
      <text>
        <r>
          <rPr>
            <b/>
            <sz val="10"/>
            <rFont val="Tahoma"/>
            <family val="2"/>
          </rPr>
          <t>VALOR VIGENTE A FEBRERO 2007</t>
        </r>
        <r>
          <rPr>
            <sz val="8"/>
            <rFont val="Tahoma"/>
            <family val="0"/>
          </rPr>
          <t xml:space="preserve">
</t>
        </r>
      </text>
    </comment>
  </commentList>
</comments>
</file>

<file path=xl/comments7.xml><?xml version="1.0" encoding="utf-8"?>
<comments xmlns="http://schemas.openxmlformats.org/spreadsheetml/2006/main">
  <authors>
    <author>BPS</author>
    <author>pperdomo</author>
    <author>Pablo Perdomo</author>
  </authors>
  <commentList>
    <comment ref="G4" authorId="0">
      <text>
        <r>
          <rPr>
            <b/>
            <sz val="8"/>
            <rFont val="Tahoma"/>
            <family val="0"/>
          </rPr>
          <t>PARA CALCULAR EL IRPF, SIEMPRE HAY QUE LLENAR ESTA CELDA.
EN CASO DE MAS DE UN EMPLEO, SUMAR LOS NOMINALES</t>
        </r>
        <r>
          <rPr>
            <sz val="8"/>
            <rFont val="Tahoma"/>
            <family val="0"/>
          </rPr>
          <t xml:space="preserve">
</t>
        </r>
      </text>
    </comment>
    <comment ref="G6" authorId="0">
      <text>
        <r>
          <rPr>
            <b/>
            <sz val="10"/>
            <rFont val="Tahoma"/>
            <family val="2"/>
          </rPr>
          <t>ESTA CELDA ES IMPRESCINDIBLE LLENARLA, PARA CALCULAR CORRECTAMENTE EL APORTE AL SISTEMA NACIONAL INTEGRADO DE SALUD</t>
        </r>
        <r>
          <rPr>
            <sz val="8"/>
            <rFont val="Tahoma"/>
            <family val="0"/>
          </rPr>
          <t xml:space="preserve">
</t>
        </r>
      </text>
    </comment>
    <comment ref="G7" authorId="0">
      <text>
        <r>
          <rPr>
            <b/>
            <u val="single"/>
            <sz val="9"/>
            <rFont val="Tahoma"/>
            <family val="2"/>
          </rPr>
          <t>Nuevo régimen</t>
        </r>
        <r>
          <rPr>
            <b/>
            <sz val="8"/>
            <rFont val="Tahoma"/>
            <family val="2"/>
          </rPr>
          <t xml:space="preserve">: aquellos trabajadores que aportan al régimen de jubilación por solidaridad intergeneracional y al  régimen de jubilación por ahorro individual obligatorio, (AFAP).
</t>
        </r>
        <r>
          <rPr>
            <b/>
            <u val="single"/>
            <sz val="9"/>
            <rFont val="Tahoma"/>
            <family val="2"/>
          </rPr>
          <t>Régimen de transición</t>
        </r>
        <r>
          <rPr>
            <b/>
            <sz val="8"/>
            <rFont val="Tahoma"/>
            <family val="2"/>
          </rPr>
          <t xml:space="preserve">: aportan </t>
        </r>
        <r>
          <rPr>
            <b/>
            <u val="single"/>
            <sz val="8"/>
            <rFont val="Tahoma"/>
            <family val="2"/>
          </rPr>
          <t>solo</t>
        </r>
        <r>
          <rPr>
            <b/>
            <sz val="8"/>
            <rFont val="Tahoma"/>
            <family val="2"/>
          </rPr>
          <t xml:space="preserve"> al régimen de jubilación por solidaridad intergeneracional, (no a la AFAP)</t>
        </r>
        <r>
          <rPr>
            <sz val="8"/>
            <rFont val="Tahoma"/>
            <family val="0"/>
          </rPr>
          <t xml:space="preserve">
</t>
        </r>
      </text>
    </comment>
    <comment ref="G9" authorId="0">
      <text>
        <r>
          <rPr>
            <b/>
            <sz val="8"/>
            <rFont val="Tahoma"/>
            <family val="0"/>
          </rPr>
          <t>PARA PODER CALCULAR LAS DEDUCCIONES, SIEMPRE HAY QUE LLENAR ESTA CELDA, SI SE ES FUNCIONARIO PÚBLICO</t>
        </r>
        <r>
          <rPr>
            <sz val="8"/>
            <rFont val="Tahoma"/>
            <family val="0"/>
          </rPr>
          <t xml:space="preserve">
</t>
        </r>
      </text>
    </comment>
    <comment ref="G12" authorId="0">
      <text>
        <r>
          <rPr>
            <b/>
            <sz val="8"/>
            <rFont val="Tahoma"/>
            <family val="0"/>
          </rPr>
          <t>PARA PODER CALCULAR LAS DEDUCCIONES SIEMPRE SE DEBE LLENAR ESTA CELDA, SI SE ES TRABAJADOR PRIVADO</t>
        </r>
        <r>
          <rPr>
            <sz val="8"/>
            <rFont val="Tahoma"/>
            <family val="0"/>
          </rPr>
          <t xml:space="preserve">
</t>
        </r>
      </text>
    </comment>
    <comment ref="G16" authorId="0">
      <text>
        <r>
          <rPr>
            <b/>
            <sz val="8"/>
            <rFont val="Tahoma"/>
            <family val="2"/>
          </rPr>
          <t>ADEMAS DE LOS DECLARADOS LEGALMENTE, TAMBIEN ESTAN CONSIDERADOS, LOS CALIFICADOS CON "INCAPACIDAD SEVERA" POR EL B.P.S.</t>
        </r>
        <r>
          <rPr>
            <sz val="8"/>
            <rFont val="Tahoma"/>
            <family val="0"/>
          </rPr>
          <t xml:space="preserve">
</t>
        </r>
      </text>
    </comment>
    <comment ref="F55" authorId="1">
      <text>
        <r>
          <rPr>
            <sz val="8"/>
            <rFont val="Tahoma"/>
            <family val="0"/>
          </rPr>
          <t xml:space="preserve">RECUERDA ACTUALIZAR EL VALOR DE LA BASE DE PRESTACIONES Y CONTRIBUCIONES,  CUYO IMPORTE DECRETARÁ EL PODER EJECUTIVO EN CADA AUMENTO SALARIAL OTORGADO A LOS FUNCIONARIOS PÚBLICOS.
</t>
        </r>
      </text>
    </comment>
    <comment ref="E105" authorId="2">
      <text>
        <r>
          <rPr>
            <b/>
            <sz val="8"/>
            <rFont val="Tahoma"/>
            <family val="0"/>
          </rPr>
          <t>Art.188, 1% y 3%</t>
        </r>
        <r>
          <rPr>
            <sz val="8"/>
            <rFont val="Tahoma"/>
            <family val="0"/>
          </rPr>
          <t xml:space="preserve">
</t>
        </r>
      </text>
    </comment>
    <comment ref="A108" authorId="2">
      <text>
        <r>
          <rPr>
            <b/>
            <sz val="8"/>
            <rFont val="Tahoma"/>
            <family val="0"/>
          </rPr>
          <t>DEDUCCIONES DE MENORES EN PASIVOS</t>
        </r>
        <r>
          <rPr>
            <sz val="8"/>
            <rFont val="Tahoma"/>
            <family val="0"/>
          </rPr>
          <t xml:space="preserve">
</t>
        </r>
      </text>
    </comment>
    <comment ref="E122" authorId="2">
      <text>
        <r>
          <rPr>
            <b/>
            <sz val="10"/>
            <rFont val="Tahoma"/>
            <family val="2"/>
          </rPr>
          <t>IMPORTE VIGENTE A ENERO DE 2007</t>
        </r>
        <r>
          <rPr>
            <sz val="8"/>
            <rFont val="Tahoma"/>
            <family val="0"/>
          </rPr>
          <t xml:space="preserve">
</t>
        </r>
      </text>
    </comment>
    <comment ref="E128" authorId="0">
      <text>
        <r>
          <rPr>
            <b/>
            <sz val="10"/>
            <rFont val="Tahoma"/>
            <family val="2"/>
          </rPr>
          <t>IMPORTE VIGENTE A ENERO 2007</t>
        </r>
        <r>
          <rPr>
            <sz val="8"/>
            <rFont val="Tahoma"/>
            <family val="0"/>
          </rPr>
          <t xml:space="preserve">
</t>
        </r>
      </text>
    </comment>
    <comment ref="E131" authorId="2">
      <text>
        <r>
          <rPr>
            <b/>
            <sz val="10"/>
            <rFont val="Tahoma"/>
            <family val="2"/>
          </rPr>
          <t>VALOR VIGENTE A FEBRERO 2007</t>
        </r>
        <r>
          <rPr>
            <sz val="8"/>
            <rFont val="Tahoma"/>
            <family val="0"/>
          </rPr>
          <t xml:space="preserve">
</t>
        </r>
      </text>
    </comment>
  </commentList>
</comments>
</file>

<file path=xl/comments8.xml><?xml version="1.0" encoding="utf-8"?>
<comments xmlns="http://schemas.openxmlformats.org/spreadsheetml/2006/main">
  <authors>
    <author>BPS</author>
    <author>pperdomo</author>
    <author>Pablo Perdomo</author>
  </authors>
  <commentList>
    <comment ref="G4" authorId="0">
      <text>
        <r>
          <rPr>
            <b/>
            <sz val="8"/>
            <rFont val="Tahoma"/>
            <family val="0"/>
          </rPr>
          <t>PARA CALCULAR EL IRPF, SIEMPRE HAY QUE LLENAR ESTA CELDA.
EN CASO DE MAS DE UN EMPLEO, SUMAR LOS NOMINALES</t>
        </r>
        <r>
          <rPr>
            <sz val="8"/>
            <rFont val="Tahoma"/>
            <family val="0"/>
          </rPr>
          <t xml:space="preserve">
</t>
        </r>
      </text>
    </comment>
    <comment ref="G6" authorId="0">
      <text>
        <r>
          <rPr>
            <b/>
            <sz val="10"/>
            <rFont val="Tahoma"/>
            <family val="2"/>
          </rPr>
          <t>ESTA CELDA ES IMPRESCINDIBLE LLENARLA, PARA CALCULAR CORRECTAMENTE EL APORTE AL SISTEMA NACIONAL INTEGRADO DE SALUD</t>
        </r>
        <r>
          <rPr>
            <sz val="8"/>
            <rFont val="Tahoma"/>
            <family val="0"/>
          </rPr>
          <t xml:space="preserve">
</t>
        </r>
      </text>
    </comment>
    <comment ref="G7" authorId="0">
      <text>
        <r>
          <rPr>
            <b/>
            <u val="single"/>
            <sz val="9"/>
            <rFont val="Tahoma"/>
            <family val="2"/>
          </rPr>
          <t>Nuevo régimen</t>
        </r>
        <r>
          <rPr>
            <b/>
            <sz val="8"/>
            <rFont val="Tahoma"/>
            <family val="2"/>
          </rPr>
          <t xml:space="preserve">: aquellos trabajadores que aportan al régimen de jubilación por solidaridad intergeneracional y al  régimen de jubilación por ahorro individual obligatorio, (AFAP).
</t>
        </r>
        <r>
          <rPr>
            <b/>
            <u val="single"/>
            <sz val="9"/>
            <rFont val="Tahoma"/>
            <family val="2"/>
          </rPr>
          <t>Régimen de transición</t>
        </r>
        <r>
          <rPr>
            <b/>
            <sz val="8"/>
            <rFont val="Tahoma"/>
            <family val="2"/>
          </rPr>
          <t xml:space="preserve">: aportan </t>
        </r>
        <r>
          <rPr>
            <b/>
            <u val="single"/>
            <sz val="8"/>
            <rFont val="Tahoma"/>
            <family val="2"/>
          </rPr>
          <t>solo</t>
        </r>
        <r>
          <rPr>
            <b/>
            <sz val="8"/>
            <rFont val="Tahoma"/>
            <family val="2"/>
          </rPr>
          <t xml:space="preserve"> al régimen de jubilación por solidaridad intergeneracional, (no a la AFAP)</t>
        </r>
        <r>
          <rPr>
            <sz val="8"/>
            <rFont val="Tahoma"/>
            <family val="0"/>
          </rPr>
          <t xml:space="preserve">
</t>
        </r>
      </text>
    </comment>
    <comment ref="G9" authorId="0">
      <text>
        <r>
          <rPr>
            <b/>
            <sz val="8"/>
            <rFont val="Tahoma"/>
            <family val="0"/>
          </rPr>
          <t>PARA PODER CALCULAR LAS DEDUCCIONES, SIEMPRE HAY QUE LLENAR ESTA CELDA, SI SE ES FUNCIONARIO PÚBLICO</t>
        </r>
        <r>
          <rPr>
            <sz val="8"/>
            <rFont val="Tahoma"/>
            <family val="0"/>
          </rPr>
          <t xml:space="preserve">
</t>
        </r>
      </text>
    </comment>
    <comment ref="G12" authorId="0">
      <text>
        <r>
          <rPr>
            <b/>
            <sz val="8"/>
            <rFont val="Tahoma"/>
            <family val="0"/>
          </rPr>
          <t>PARA PODER CALCULAR LAS DEDUCCIONES SIEMPRE SE DEBE LLENAR ESTA CELDA, SI SE ES TRABAJADOR PRIVADO</t>
        </r>
        <r>
          <rPr>
            <sz val="8"/>
            <rFont val="Tahoma"/>
            <family val="0"/>
          </rPr>
          <t xml:space="preserve">
</t>
        </r>
      </text>
    </comment>
    <comment ref="G16" authorId="0">
      <text>
        <r>
          <rPr>
            <b/>
            <sz val="8"/>
            <rFont val="Tahoma"/>
            <family val="2"/>
          </rPr>
          <t>ADEMAS DE LOS DECLARADOS LEGALMENTE, TAMBIEN ESTAN CONSIDERADOS, LOS CALIFICADOS CON "INCAPACIDAD SEVERA" POR EL B.P.S.</t>
        </r>
        <r>
          <rPr>
            <sz val="8"/>
            <rFont val="Tahoma"/>
            <family val="0"/>
          </rPr>
          <t xml:space="preserve">
</t>
        </r>
      </text>
    </comment>
    <comment ref="F55" authorId="1">
      <text>
        <r>
          <rPr>
            <sz val="8"/>
            <rFont val="Tahoma"/>
            <family val="0"/>
          </rPr>
          <t xml:space="preserve">RECUERDA ACTUALIZAR EL VALOR DE LA BASE DE PRESTACIONES Y CONTRIBUCIONES,  CUYO IMPORTE DECRETARÁ EL PODER EJECUTIVO EN CADA AUMENTO SALARIAL OTORGADO A LOS FUNCIONARIOS PÚBLICOS.
</t>
        </r>
      </text>
    </comment>
    <comment ref="E105" authorId="2">
      <text>
        <r>
          <rPr>
            <b/>
            <sz val="8"/>
            <rFont val="Tahoma"/>
            <family val="0"/>
          </rPr>
          <t>Art.188, 1% y 3%</t>
        </r>
        <r>
          <rPr>
            <sz val="8"/>
            <rFont val="Tahoma"/>
            <family val="0"/>
          </rPr>
          <t xml:space="preserve">
</t>
        </r>
      </text>
    </comment>
    <comment ref="A108" authorId="2">
      <text>
        <r>
          <rPr>
            <b/>
            <sz val="8"/>
            <rFont val="Tahoma"/>
            <family val="0"/>
          </rPr>
          <t>DEDUCCIONES DE MENORES EN PASIVOS</t>
        </r>
        <r>
          <rPr>
            <sz val="8"/>
            <rFont val="Tahoma"/>
            <family val="0"/>
          </rPr>
          <t xml:space="preserve">
</t>
        </r>
      </text>
    </comment>
    <comment ref="E122" authorId="2">
      <text>
        <r>
          <rPr>
            <b/>
            <sz val="10"/>
            <rFont val="Tahoma"/>
            <family val="2"/>
          </rPr>
          <t>IMPORTE VIGENTE A ENERO DE 2007</t>
        </r>
        <r>
          <rPr>
            <sz val="8"/>
            <rFont val="Tahoma"/>
            <family val="0"/>
          </rPr>
          <t xml:space="preserve">
</t>
        </r>
      </text>
    </comment>
    <comment ref="E128" authorId="0">
      <text>
        <r>
          <rPr>
            <b/>
            <sz val="10"/>
            <rFont val="Tahoma"/>
            <family val="2"/>
          </rPr>
          <t>IMPORTE VIGENTE A ENERO 2007</t>
        </r>
        <r>
          <rPr>
            <sz val="8"/>
            <rFont val="Tahoma"/>
            <family val="0"/>
          </rPr>
          <t xml:space="preserve">
</t>
        </r>
      </text>
    </comment>
    <comment ref="E131" authorId="2">
      <text>
        <r>
          <rPr>
            <b/>
            <sz val="10"/>
            <rFont val="Tahoma"/>
            <family val="2"/>
          </rPr>
          <t>VALOR VIGENTE A FEBRERO 2007</t>
        </r>
        <r>
          <rPr>
            <sz val="8"/>
            <rFont val="Tahoma"/>
            <family val="0"/>
          </rPr>
          <t xml:space="preserve">
</t>
        </r>
      </text>
    </comment>
  </commentList>
</comments>
</file>

<file path=xl/comments9.xml><?xml version="1.0" encoding="utf-8"?>
<comments xmlns="http://schemas.openxmlformats.org/spreadsheetml/2006/main">
  <authors>
    <author>BPS</author>
    <author>pperdomo</author>
    <author>Pablo Perdomo</author>
  </authors>
  <commentList>
    <comment ref="G4" authorId="0">
      <text>
        <r>
          <rPr>
            <b/>
            <sz val="8"/>
            <rFont val="Tahoma"/>
            <family val="0"/>
          </rPr>
          <t>PARA CALCULAR EL IRPF, SIEMPRE HAY QUE LLENAR ESTA CELDA.
EN CASO DE MAS DE UN EMPLEO, SUMAR LOS NOMINALES</t>
        </r>
        <r>
          <rPr>
            <sz val="8"/>
            <rFont val="Tahoma"/>
            <family val="0"/>
          </rPr>
          <t xml:space="preserve">
</t>
        </r>
      </text>
    </comment>
    <comment ref="G6" authorId="0">
      <text>
        <r>
          <rPr>
            <b/>
            <sz val="10"/>
            <rFont val="Tahoma"/>
            <family val="2"/>
          </rPr>
          <t>ESTA CELDA ES IMPRESCINDIBLE LLENARLA, PARA CALCULAR CORRECTAMENTE EL APORTE AL SISTEMA NACIONAL INTEGRADO DE SALUD</t>
        </r>
        <r>
          <rPr>
            <sz val="8"/>
            <rFont val="Tahoma"/>
            <family val="0"/>
          </rPr>
          <t xml:space="preserve">
</t>
        </r>
      </text>
    </comment>
    <comment ref="G7" authorId="0">
      <text>
        <r>
          <rPr>
            <b/>
            <u val="single"/>
            <sz val="9"/>
            <rFont val="Tahoma"/>
            <family val="2"/>
          </rPr>
          <t>Nuevo régimen</t>
        </r>
        <r>
          <rPr>
            <b/>
            <sz val="8"/>
            <rFont val="Tahoma"/>
            <family val="2"/>
          </rPr>
          <t xml:space="preserve">: aquellos trabajadores que aportan al régimen de jubilación por solidaridad intergeneracional y al  régimen de jubilación por ahorro individual obligatorio, (AFAP).
</t>
        </r>
        <r>
          <rPr>
            <b/>
            <u val="single"/>
            <sz val="9"/>
            <rFont val="Tahoma"/>
            <family val="2"/>
          </rPr>
          <t>Régimen de transición</t>
        </r>
        <r>
          <rPr>
            <b/>
            <sz val="8"/>
            <rFont val="Tahoma"/>
            <family val="2"/>
          </rPr>
          <t xml:space="preserve">: aportan </t>
        </r>
        <r>
          <rPr>
            <b/>
            <u val="single"/>
            <sz val="8"/>
            <rFont val="Tahoma"/>
            <family val="2"/>
          </rPr>
          <t>solo</t>
        </r>
        <r>
          <rPr>
            <b/>
            <sz val="8"/>
            <rFont val="Tahoma"/>
            <family val="2"/>
          </rPr>
          <t xml:space="preserve"> al régimen de jubilación por solidaridad intergeneracional, (no a la AFAP)</t>
        </r>
        <r>
          <rPr>
            <sz val="8"/>
            <rFont val="Tahoma"/>
            <family val="0"/>
          </rPr>
          <t xml:space="preserve">
</t>
        </r>
      </text>
    </comment>
    <comment ref="G9" authorId="0">
      <text>
        <r>
          <rPr>
            <b/>
            <sz val="8"/>
            <rFont val="Tahoma"/>
            <family val="0"/>
          </rPr>
          <t>PARA PODER CALCULAR LAS DEDUCCIONES, SIEMPRE HAY QUE LLENAR ESTA CELDA, SI SE ES FUNCIONARIO PÚBLICO</t>
        </r>
        <r>
          <rPr>
            <sz val="8"/>
            <rFont val="Tahoma"/>
            <family val="0"/>
          </rPr>
          <t xml:space="preserve">
</t>
        </r>
      </text>
    </comment>
    <comment ref="G12" authorId="0">
      <text>
        <r>
          <rPr>
            <b/>
            <sz val="8"/>
            <rFont val="Tahoma"/>
            <family val="0"/>
          </rPr>
          <t>PARA PODER CALCULAR LAS DEDUCCIONES SIEMPRE SE DEBE LLENAR ESTA CELDA, SI SE ES TRABAJADOR PRIVADO</t>
        </r>
        <r>
          <rPr>
            <sz val="8"/>
            <rFont val="Tahoma"/>
            <family val="0"/>
          </rPr>
          <t xml:space="preserve">
</t>
        </r>
      </text>
    </comment>
    <comment ref="G16" authorId="0">
      <text>
        <r>
          <rPr>
            <b/>
            <sz val="8"/>
            <rFont val="Tahoma"/>
            <family val="2"/>
          </rPr>
          <t>ADEMAS DE LOS DECLARADOS LEGALMENTE, TAMBIEN ESTAN CONSIDERADOS, LOS CALIFICADOS CON "INCAPACIDAD SEVERA" POR EL B.P.S.</t>
        </r>
        <r>
          <rPr>
            <sz val="8"/>
            <rFont val="Tahoma"/>
            <family val="0"/>
          </rPr>
          <t xml:space="preserve">
</t>
        </r>
      </text>
    </comment>
    <comment ref="F55" authorId="1">
      <text>
        <r>
          <rPr>
            <sz val="8"/>
            <rFont val="Tahoma"/>
            <family val="0"/>
          </rPr>
          <t xml:space="preserve">RECUERDA ACTUALIZAR EL VALOR DE LA BASE DE PRESTACIONES Y CONTRIBUCIONES,  CUYO IMPORTE DECRETARÁ EL PODER EJECUTIVO EN CADA AUMENTO SALARIAL OTORGADO A LOS FUNCIONARIOS PÚBLICOS.
</t>
        </r>
      </text>
    </comment>
    <comment ref="E105" authorId="2">
      <text>
        <r>
          <rPr>
            <b/>
            <sz val="8"/>
            <rFont val="Tahoma"/>
            <family val="0"/>
          </rPr>
          <t>Art.188, 1% y 3%</t>
        </r>
        <r>
          <rPr>
            <sz val="8"/>
            <rFont val="Tahoma"/>
            <family val="0"/>
          </rPr>
          <t xml:space="preserve">
</t>
        </r>
      </text>
    </comment>
    <comment ref="A108" authorId="2">
      <text>
        <r>
          <rPr>
            <b/>
            <sz val="8"/>
            <rFont val="Tahoma"/>
            <family val="0"/>
          </rPr>
          <t>DEDUCCIONES DE MENORES EN PASIVOS</t>
        </r>
        <r>
          <rPr>
            <sz val="8"/>
            <rFont val="Tahoma"/>
            <family val="0"/>
          </rPr>
          <t xml:space="preserve">
</t>
        </r>
      </text>
    </comment>
    <comment ref="E122" authorId="2">
      <text>
        <r>
          <rPr>
            <b/>
            <sz val="10"/>
            <rFont val="Tahoma"/>
            <family val="2"/>
          </rPr>
          <t>IMPORTE VIGENTE A ENERO DE 2007</t>
        </r>
        <r>
          <rPr>
            <sz val="8"/>
            <rFont val="Tahoma"/>
            <family val="0"/>
          </rPr>
          <t xml:space="preserve">
</t>
        </r>
      </text>
    </comment>
    <comment ref="E128" authorId="0">
      <text>
        <r>
          <rPr>
            <b/>
            <sz val="10"/>
            <rFont val="Tahoma"/>
            <family val="2"/>
          </rPr>
          <t>IMPORTE VIGENTE A ENERO 2007</t>
        </r>
        <r>
          <rPr>
            <sz val="8"/>
            <rFont val="Tahoma"/>
            <family val="0"/>
          </rPr>
          <t xml:space="preserve">
</t>
        </r>
      </text>
    </comment>
    <comment ref="E131" authorId="2">
      <text>
        <r>
          <rPr>
            <b/>
            <sz val="10"/>
            <rFont val="Tahoma"/>
            <family val="2"/>
          </rPr>
          <t>VALOR VIGENTE A FEBRERO 2007</t>
        </r>
        <r>
          <rPr>
            <sz val="8"/>
            <rFont val="Tahoma"/>
            <family val="0"/>
          </rPr>
          <t xml:space="preserve">
</t>
        </r>
      </text>
    </comment>
  </commentList>
</comments>
</file>

<file path=xl/sharedStrings.xml><?xml version="1.0" encoding="utf-8"?>
<sst xmlns="http://schemas.openxmlformats.org/spreadsheetml/2006/main" count="1298" uniqueCount="129">
  <si>
    <t>MONTE PIO</t>
  </si>
  <si>
    <t>0 a 5 BPC</t>
  </si>
  <si>
    <t>5 a 10 BPC</t>
  </si>
  <si>
    <t>10 a 15 BPC</t>
  </si>
  <si>
    <t>BPC</t>
  </si>
  <si>
    <t>FRANJAS</t>
  </si>
  <si>
    <t>IRPF Total</t>
  </si>
  <si>
    <t>FRANJAS DE IRP Actual</t>
  </si>
  <si>
    <t>Monto</t>
  </si>
  <si>
    <t>Porcentaje</t>
  </si>
  <si>
    <t>IRP por franja</t>
  </si>
  <si>
    <t>TRABAJADORES</t>
  </si>
  <si>
    <t>JUBILADOS y PENSIONISTAS</t>
  </si>
  <si>
    <t>15 BPC a 50 BPC</t>
  </si>
  <si>
    <t>50 BPC a 100 BPC</t>
  </si>
  <si>
    <t>DESDE 100 BPC</t>
  </si>
  <si>
    <t>15 a 50 BPC</t>
  </si>
  <si>
    <t>Desde 100 BPC</t>
  </si>
  <si>
    <t>MONTO</t>
  </si>
  <si>
    <t>10 a 45 BPC</t>
  </si>
  <si>
    <t>45 a 95 BPC</t>
  </si>
  <si>
    <t>Mas de 95 BPC</t>
  </si>
  <si>
    <t>DEDUCCIONES</t>
  </si>
  <si>
    <t>DEDUCCIONES TRABAJADORES</t>
  </si>
  <si>
    <t>JUBILADOS SIN CUOTA</t>
  </si>
  <si>
    <t>DEDUCCIONES JUBILADOS</t>
  </si>
  <si>
    <t>DEDUCCIONES PENSIONISTAS</t>
  </si>
  <si>
    <t>TRABAJADOR</t>
  </si>
  <si>
    <t>JUBILADO</t>
  </si>
  <si>
    <t>PENSIONISTA</t>
  </si>
  <si>
    <t>DIFERENCIA de PAGO (IRPF menos IRP)</t>
  </si>
  <si>
    <t>Tope cuota mutual PASIVOS</t>
  </si>
  <si>
    <t>Fondo de Solidaridad</t>
  </si>
  <si>
    <t>Si sos TRABAJADOR ingresá TU SUELDO NOMINAL en la celda ROJA</t>
  </si>
  <si>
    <t>Adicional Fondo de Solidaridad</t>
  </si>
  <si>
    <t>TOTAL DE DEDUCCIONES</t>
  </si>
  <si>
    <t>IRP TOTAL</t>
  </si>
  <si>
    <t>F.R.LABORAL</t>
  </si>
  <si>
    <t>IRPF TRABAJADORES y/o PASIVOS</t>
  </si>
  <si>
    <t>TOPE JUBILADOS CON CUOTA</t>
  </si>
  <si>
    <t xml:space="preserve">IRPF BRUTO </t>
  </si>
  <si>
    <t>NOMINAL jubilados</t>
  </si>
  <si>
    <t>NOMINAL PENSION.</t>
  </si>
  <si>
    <t xml:space="preserve">Si te corresponde, ingresá en las celdas NARANJAS, el importe de las siguientes DEDUCCIONES </t>
  </si>
  <si>
    <t>IRP TRABAJADOR PRIVADO MULTIEMPLEO</t>
  </si>
  <si>
    <t>TOTAL</t>
  </si>
  <si>
    <t>IRP JUBILADOS</t>
  </si>
  <si>
    <t>IRP PENSIONISTA</t>
  </si>
  <si>
    <t>IRP TRABAJADOR PUBLICO MULTIEMPLEO</t>
  </si>
  <si>
    <t>NIVEL 3 DE INGRESO</t>
  </si>
  <si>
    <t>TRANSICIÓN</t>
  </si>
  <si>
    <t>NUEVO</t>
  </si>
  <si>
    <t>NIVEL DE INGRESO 3</t>
  </si>
  <si>
    <t>COMPARACIÓN</t>
  </si>
  <si>
    <t xml:space="preserve">APORTES </t>
  </si>
  <si>
    <t>APORTES CJP</t>
  </si>
  <si>
    <t>REINTEGROS CJP</t>
  </si>
  <si>
    <t>Si sos funcionario PÚBLICO ingresá, en la celda AZUL, tu SUELDO NOMINAL MENOS las partidas que no son consideradas materia gravada por el BPS. En caso de mas de un trabajo público, llenar una celda AZUL por empleo.</t>
  </si>
  <si>
    <t>Si sos JUBILADO ingresá tu pasividad NOMINAL, en la celda ROSADA, (una jubilación por celda)</t>
  </si>
  <si>
    <t>Si sos PENSIONISTA ingresá tu pasividad NOMINAL, en la celda GRIS, (una pensión por celda)</t>
  </si>
  <si>
    <t>Marcá, en la celda marrón, CUANTOS HIJOS MENORES DE 18 AÑOS tienes a tu cargo</t>
  </si>
  <si>
    <t>Marcá, en la celda VERDE, cuantos HIJOS MAYORES O MENORES LEGALMENTE DECLARADOS CON CAPACIDADES DIFERENTES, tienes a tu cargo</t>
  </si>
  <si>
    <t>APORTES</t>
  </si>
  <si>
    <t xml:space="preserve">Si sos trabajador PRIVADO ingresá tu SUELDO NOMINAL MENOS las partidas no gravadas por el BPS, en cualquiera de las celdas AMARILLAS. En caso de MULTIEMPLEO PRIVADO, llenar una celda AMARILLA por empleo.  </t>
  </si>
  <si>
    <t>Atención médica a menores a cargo</t>
  </si>
  <si>
    <t>120 a 180 BPC</t>
  </si>
  <si>
    <t>180 a 600 BPC</t>
  </si>
  <si>
    <t>600 a 1200 BPC</t>
  </si>
  <si>
    <t>ENERO</t>
  </si>
  <si>
    <t>FEBRERO</t>
  </si>
  <si>
    <t>MARZO</t>
  </si>
  <si>
    <t>ABRIL</t>
  </si>
  <si>
    <t>MAYO</t>
  </si>
  <si>
    <t>JUNIO</t>
  </si>
  <si>
    <t>JULIO</t>
  </si>
  <si>
    <t>AGOSTO</t>
  </si>
  <si>
    <t>OCTUBRE</t>
  </si>
  <si>
    <t>NOVIEMBRE</t>
  </si>
  <si>
    <t>DICIEMBRE</t>
  </si>
  <si>
    <t>DEDUCCIÓN ANUAL</t>
  </si>
  <si>
    <t xml:space="preserve">INGRESO </t>
  </si>
  <si>
    <t>RENTA ANUAL</t>
  </si>
  <si>
    <t>TOTAL ADELANTOS</t>
  </si>
  <si>
    <t>MAS de 1200 BPC</t>
  </si>
  <si>
    <t>DIFERENCIA ANUAL ENTRE IRPF e IRP</t>
  </si>
  <si>
    <t>DIFERENCIA PROMEDIO MENSUAL ENTRE IRPF e IRP</t>
  </si>
  <si>
    <t>IMPUESTO A LA RENTA DE TRABAJO ANUAL</t>
  </si>
  <si>
    <t>IRPF MENOS DEDUCCIONES (ANUAL)</t>
  </si>
  <si>
    <t>IRPF por franja</t>
  </si>
  <si>
    <t>TOTALES</t>
  </si>
  <si>
    <t>IRPF ADELANTO</t>
  </si>
  <si>
    <t>PARÁMETROS</t>
  </si>
  <si>
    <t>MONTO BRUTO DE DEDUCCIONES</t>
  </si>
  <si>
    <t>MONTO A DEDUCIR</t>
  </si>
  <si>
    <t>B.P.C.</t>
  </si>
  <si>
    <t>0 a 84 BPC</t>
  </si>
  <si>
    <t>84 a 120 BPC</t>
  </si>
  <si>
    <t>0 a 36 BPC</t>
  </si>
  <si>
    <t>36 a 96 BPC</t>
  </si>
  <si>
    <t>96 a 516 BPC</t>
  </si>
  <si>
    <t>516 a 1116 BPC</t>
  </si>
  <si>
    <t>MAS de 1116 BPC</t>
  </si>
  <si>
    <t xml:space="preserve"> En la celda CELESTE, digitá 1 si tenés HIJOS menores de 18 años o DISCAPACITADOS de cualquier edad A TU CARGO, de lo contrario digitá 0</t>
  </si>
  <si>
    <t>Digitá, en la celda VIOLETA, 1 si se está incluido en el nuevo régimen o 2 si se esta en el régimen de transición, establecidos por la Ley 16713</t>
  </si>
  <si>
    <t>IRPF</t>
  </si>
  <si>
    <t>0 a 7 BPC</t>
  </si>
  <si>
    <t>7 a 10 BPC</t>
  </si>
  <si>
    <t>APORTE JUBILATORIO (Montepío o BPS)</t>
  </si>
  <si>
    <t>BXBX</t>
  </si>
  <si>
    <t>FONASA</t>
  </si>
  <si>
    <t>2,5 BPC</t>
  </si>
  <si>
    <t>0 a 8 BPC</t>
  </si>
  <si>
    <t>8 a 15 BPC</t>
  </si>
  <si>
    <t>Tope cuota mutual jubilados como PATRONES</t>
  </si>
  <si>
    <t>Atención médica incapaces a cargo</t>
  </si>
  <si>
    <t>0 a 3 BPC</t>
  </si>
  <si>
    <t>3 a 8 BPC</t>
  </si>
  <si>
    <t>8 a 43 BPC</t>
  </si>
  <si>
    <t>43 a 93 BPC</t>
  </si>
  <si>
    <t>Mas de 93 BPC</t>
  </si>
  <si>
    <t>MAT.GRAVADA</t>
  </si>
  <si>
    <t>NOMINAL IRPF</t>
  </si>
  <si>
    <t>SETIEMBRE</t>
  </si>
  <si>
    <t>DIFERENCIA ENTRE IRPF ANUAL Y TOTAL DE ADELANTOS</t>
  </si>
  <si>
    <t xml:space="preserve">IRPF ANUAL MENOS DEDUCCIONES ANUALES </t>
  </si>
  <si>
    <t>TOTAL DE ADELANTOS EN EL AÑO</t>
  </si>
  <si>
    <t>5 a 20 BPC</t>
  </si>
  <si>
    <t>DESDE 20 BPC</t>
  </si>
  <si>
    <t>AGUINALDO</t>
  </si>
</sst>
</file>

<file path=xl/styles.xml><?xml version="1.0" encoding="utf-8"?>
<styleSheet xmlns="http://schemas.openxmlformats.org/spreadsheetml/2006/main">
  <numFmts count="30">
    <numFmt numFmtId="5" formatCode="&quot;$U&quot;\ #,##0;&quot;$U&quot;\ \-#,##0"/>
    <numFmt numFmtId="6" formatCode="&quot;$U&quot;\ #,##0;[Red]&quot;$U&quot;\ \-#,##0"/>
    <numFmt numFmtId="7" formatCode="&quot;$U&quot;\ #,##0.00;&quot;$U&quot;\ \-#,##0.00"/>
    <numFmt numFmtId="8" formatCode="&quot;$U&quot;\ #,##0.00;[Red]&quot;$U&quot;\ \-#,##0.00"/>
    <numFmt numFmtId="42" formatCode="_ &quot;$U&quot;\ * #,##0_ ;_ &quot;$U&quot;\ * \-#,##0_ ;_ &quot;$U&quot;\ * &quot;-&quot;_ ;_ @_ "/>
    <numFmt numFmtId="41" formatCode="_ * #,##0_ ;_ * \-#,##0_ ;_ * &quot;-&quot;_ ;_ @_ "/>
    <numFmt numFmtId="44" formatCode="_ &quot;$U&quot;\ * #,##0.00_ ;_ &quot;$U&quot;\ * \-#,##0.00_ ;_ &quot;$U&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U&quot;\ #,##0"/>
    <numFmt numFmtId="181" formatCode="&quot;Sí&quot;;&quot;Sí&quot;;&quot;No&quot;"/>
    <numFmt numFmtId="182" formatCode="&quot;Verdadero&quot;;&quot;Verdadero&quot;;&quot;Falso&quot;"/>
    <numFmt numFmtId="183" formatCode="&quot;Activado&quot;;&quot;Activado&quot;;&quot;Desactivado&quot;"/>
    <numFmt numFmtId="184" formatCode="0.0000"/>
    <numFmt numFmtId="185" formatCode="#,##0\ &quot;€&quot;"/>
  </numFmts>
  <fonts count="35">
    <font>
      <sz val="10"/>
      <name val="Arial"/>
      <family val="0"/>
    </font>
    <font>
      <b/>
      <sz val="10"/>
      <name val="Arial"/>
      <family val="2"/>
    </font>
    <font>
      <b/>
      <sz val="12"/>
      <name val="Arial"/>
      <family val="2"/>
    </font>
    <font>
      <b/>
      <sz val="14"/>
      <name val="Arial"/>
      <family val="2"/>
    </font>
    <font>
      <b/>
      <sz val="16"/>
      <name val="Arial"/>
      <family val="2"/>
    </font>
    <font>
      <b/>
      <sz val="11"/>
      <name val="Comic Sans MS"/>
      <family val="4"/>
    </font>
    <font>
      <b/>
      <sz val="18"/>
      <name val="Arial"/>
      <family val="2"/>
    </font>
    <font>
      <b/>
      <sz val="11"/>
      <name val="Arial"/>
      <family val="2"/>
    </font>
    <font>
      <b/>
      <sz val="10"/>
      <name val="Comic Sans MS"/>
      <family val="4"/>
    </font>
    <font>
      <b/>
      <sz val="14"/>
      <name val="Comic Sans MS"/>
      <family val="4"/>
    </font>
    <font>
      <b/>
      <sz val="16"/>
      <name val="Comic Sans MS"/>
      <family val="4"/>
    </font>
    <font>
      <sz val="8"/>
      <name val="Tahoma"/>
      <family val="0"/>
    </font>
    <font>
      <b/>
      <sz val="12"/>
      <name val="Comic Sans MS"/>
      <family val="4"/>
    </font>
    <font>
      <b/>
      <sz val="10"/>
      <name val="Tahoma"/>
      <family val="2"/>
    </font>
    <font>
      <b/>
      <sz val="20"/>
      <name val="Arial Narrow"/>
      <family val="2"/>
    </font>
    <font>
      <u val="single"/>
      <sz val="10"/>
      <color indexed="12"/>
      <name val="Arial"/>
      <family val="0"/>
    </font>
    <font>
      <u val="single"/>
      <sz val="10"/>
      <color indexed="36"/>
      <name val="Arial"/>
      <family val="0"/>
    </font>
    <font>
      <b/>
      <sz val="20"/>
      <name val="Arial"/>
      <family val="2"/>
    </font>
    <font>
      <b/>
      <sz val="9"/>
      <name val="Comic Sans MS"/>
      <family val="4"/>
    </font>
    <font>
      <b/>
      <sz val="10"/>
      <color indexed="9"/>
      <name val="Arial"/>
      <family val="2"/>
    </font>
    <font>
      <b/>
      <sz val="11"/>
      <color indexed="9"/>
      <name val="Arial"/>
      <family val="2"/>
    </font>
    <font>
      <b/>
      <sz val="12"/>
      <color indexed="9"/>
      <name val="Arial"/>
      <family val="2"/>
    </font>
    <font>
      <b/>
      <sz val="24"/>
      <name val="Arial"/>
      <family val="2"/>
    </font>
    <font>
      <b/>
      <sz val="8"/>
      <name val="Tahoma"/>
      <family val="0"/>
    </font>
    <font>
      <b/>
      <sz val="16"/>
      <color indexed="9"/>
      <name val="Arial"/>
      <family val="2"/>
    </font>
    <font>
      <b/>
      <sz val="28"/>
      <name val="Comic Sans MS"/>
      <family val="4"/>
    </font>
    <font>
      <b/>
      <sz val="14"/>
      <color indexed="9"/>
      <name val="Arial"/>
      <family val="2"/>
    </font>
    <font>
      <b/>
      <u val="single"/>
      <sz val="9"/>
      <name val="Tahoma"/>
      <family val="2"/>
    </font>
    <font>
      <b/>
      <u val="single"/>
      <sz val="8"/>
      <name val="Tahoma"/>
      <family val="2"/>
    </font>
    <font>
      <b/>
      <sz val="22"/>
      <name val="Comic Sans MS"/>
      <family val="4"/>
    </font>
    <font>
      <b/>
      <sz val="28"/>
      <name val="Arial"/>
      <family val="2"/>
    </font>
    <font>
      <b/>
      <sz val="24"/>
      <name val="Comic Sans MS"/>
      <family val="4"/>
    </font>
    <font>
      <b/>
      <sz val="14"/>
      <color indexed="8"/>
      <name val="Arial"/>
      <family val="2"/>
    </font>
    <font>
      <b/>
      <sz val="16"/>
      <color indexed="8"/>
      <name val="Arial"/>
      <family val="2"/>
    </font>
    <font>
      <b/>
      <sz val="8"/>
      <name val="Arial"/>
      <family val="2"/>
    </font>
  </fonts>
  <fills count="30">
    <fill>
      <patternFill/>
    </fill>
    <fill>
      <patternFill patternType="gray125"/>
    </fill>
    <fill>
      <patternFill patternType="solid">
        <fgColor indexed="43"/>
        <bgColor indexed="64"/>
      </patternFill>
    </fill>
    <fill>
      <patternFill patternType="solid">
        <fgColor indexed="15"/>
        <bgColor indexed="64"/>
      </patternFill>
    </fill>
    <fill>
      <patternFill patternType="solid">
        <fgColor indexed="41"/>
        <bgColor indexed="64"/>
      </patternFill>
    </fill>
    <fill>
      <patternFill patternType="solid">
        <fgColor indexed="52"/>
        <bgColor indexed="64"/>
      </patternFill>
    </fill>
    <fill>
      <patternFill patternType="solid">
        <fgColor indexed="13"/>
        <bgColor indexed="64"/>
      </patternFill>
    </fill>
    <fill>
      <patternFill patternType="solid">
        <fgColor indexed="40"/>
        <bgColor indexed="64"/>
      </patternFill>
    </fill>
    <fill>
      <patternFill patternType="solid">
        <fgColor indexed="49"/>
        <bgColor indexed="64"/>
      </patternFill>
    </fill>
    <fill>
      <patternFill patternType="solid">
        <fgColor indexed="21"/>
        <bgColor indexed="64"/>
      </patternFill>
    </fill>
    <fill>
      <patternFill patternType="solid">
        <fgColor indexed="56"/>
        <bgColor indexed="64"/>
      </patternFill>
    </fill>
    <fill>
      <patternFill patternType="solid">
        <fgColor indexed="18"/>
        <bgColor indexed="64"/>
      </patternFill>
    </fill>
    <fill>
      <patternFill patternType="solid">
        <fgColor indexed="44"/>
        <bgColor indexed="64"/>
      </patternFill>
    </fill>
    <fill>
      <patternFill patternType="solid">
        <fgColor indexed="50"/>
        <bgColor indexed="64"/>
      </patternFill>
    </fill>
    <fill>
      <patternFill patternType="solid">
        <fgColor indexed="45"/>
        <bgColor indexed="64"/>
      </patternFill>
    </fill>
    <fill>
      <patternFill patternType="solid">
        <fgColor indexed="61"/>
        <bgColor indexed="64"/>
      </patternFill>
    </fill>
    <fill>
      <patternFill patternType="solid">
        <fgColor indexed="53"/>
        <bgColor indexed="64"/>
      </patternFill>
    </fill>
    <fill>
      <patternFill patternType="solid">
        <fgColor indexed="42"/>
        <bgColor indexed="64"/>
      </patternFill>
    </fill>
    <fill>
      <patternFill patternType="solid">
        <fgColor indexed="47"/>
        <bgColor indexed="64"/>
      </patternFill>
    </fill>
    <fill>
      <patternFill patternType="solid">
        <fgColor indexed="60"/>
        <bgColor indexed="64"/>
      </patternFill>
    </fill>
    <fill>
      <patternFill patternType="solid">
        <fgColor indexed="22"/>
        <bgColor indexed="64"/>
      </patternFill>
    </fill>
    <fill>
      <patternFill patternType="solid">
        <fgColor indexed="12"/>
        <bgColor indexed="64"/>
      </patternFill>
    </fill>
    <fill>
      <patternFill patternType="solid">
        <fgColor indexed="48"/>
        <bgColor indexed="64"/>
      </patternFill>
    </fill>
    <fill>
      <patternFill patternType="solid">
        <fgColor indexed="11"/>
        <bgColor indexed="64"/>
      </patternFill>
    </fill>
    <fill>
      <patternFill patternType="solid">
        <fgColor indexed="51"/>
        <bgColor indexed="64"/>
      </patternFill>
    </fill>
    <fill>
      <patternFill patternType="solid">
        <fgColor indexed="57"/>
        <bgColor indexed="64"/>
      </patternFill>
    </fill>
    <fill>
      <patternFill patternType="solid">
        <fgColor indexed="58"/>
        <bgColor indexed="64"/>
      </patternFill>
    </fill>
    <fill>
      <patternFill patternType="solid">
        <fgColor indexed="17"/>
        <bgColor indexed="64"/>
      </patternFill>
    </fill>
    <fill>
      <patternFill patternType="solid">
        <fgColor indexed="46"/>
        <bgColor indexed="64"/>
      </patternFill>
    </fill>
    <fill>
      <patternFill patternType="solid">
        <fgColor indexed="10"/>
        <bgColor indexed="64"/>
      </patternFill>
    </fill>
  </fills>
  <borders count="61">
    <border>
      <left/>
      <right/>
      <top/>
      <bottom/>
      <diagonal/>
    </border>
    <border>
      <left style="thin"/>
      <right style="thin"/>
      <top style="medium"/>
      <bottom style="thin"/>
    </border>
    <border>
      <left style="thin"/>
      <right style="thin"/>
      <top style="thin"/>
      <bottom style="thin"/>
    </border>
    <border>
      <left style="medium"/>
      <right style="thin"/>
      <top style="medium"/>
      <bottom style="thin"/>
    </border>
    <border>
      <left style="medium"/>
      <right style="thin"/>
      <top style="thin"/>
      <bottom>
        <color indexed="63"/>
      </bottom>
    </border>
    <border>
      <left style="medium"/>
      <right style="thin"/>
      <top style="thin"/>
      <bottom style="medium"/>
    </border>
    <border>
      <left style="medium"/>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style="thin"/>
      <bottom style="thin"/>
    </border>
    <border>
      <left style="thin"/>
      <right style="thin"/>
      <top style="thin"/>
      <bottom>
        <color indexed="63"/>
      </bottom>
    </border>
    <border>
      <left style="medium"/>
      <right style="thin"/>
      <top>
        <color indexed="63"/>
      </top>
      <bottom style="medium"/>
    </border>
    <border>
      <left style="thin"/>
      <right style="medium"/>
      <top>
        <color indexed="63"/>
      </top>
      <bottom style="medium"/>
    </border>
    <border>
      <left style="medium"/>
      <right style="medium"/>
      <top>
        <color indexed="63"/>
      </top>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thin"/>
    </border>
    <border>
      <left style="medium"/>
      <right style="medium"/>
      <top style="medium"/>
      <bottom>
        <color indexed="63"/>
      </bottom>
    </border>
    <border>
      <left style="medium"/>
      <right style="medium"/>
      <top style="thin"/>
      <bottom style="medium"/>
    </border>
    <border>
      <left style="medium"/>
      <right>
        <color indexed="63"/>
      </right>
      <top style="medium"/>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thick"/>
      <right style="thick"/>
      <top style="thick"/>
      <bottom style="thick"/>
    </border>
    <border>
      <left>
        <color indexed="63"/>
      </left>
      <right style="thick"/>
      <top>
        <color indexed="63"/>
      </top>
      <bottom style="thick"/>
    </border>
    <border>
      <left>
        <color indexed="63"/>
      </left>
      <right style="thick"/>
      <top style="thick"/>
      <bottom style="thick"/>
    </border>
    <border>
      <left>
        <color indexed="63"/>
      </left>
      <right>
        <color indexed="63"/>
      </right>
      <top style="medium"/>
      <bottom>
        <color indexed="63"/>
      </bottom>
    </border>
    <border>
      <left>
        <color indexed="63"/>
      </left>
      <right>
        <color indexed="63"/>
      </right>
      <top style="thick"/>
      <bottom style="thick"/>
    </border>
    <border>
      <left style="medium"/>
      <right>
        <color indexed="63"/>
      </right>
      <top>
        <color indexed="63"/>
      </top>
      <bottom>
        <color indexed="63"/>
      </bottom>
    </border>
    <border>
      <left style="thick"/>
      <right>
        <color indexed="63"/>
      </right>
      <top>
        <color indexed="63"/>
      </top>
      <bottom style="thick"/>
    </border>
    <border>
      <left style="thick"/>
      <right style="thick"/>
      <top>
        <color indexed="63"/>
      </top>
      <bottom style="thick"/>
    </border>
    <border>
      <left style="medium"/>
      <right>
        <color indexed="63"/>
      </right>
      <top>
        <color indexed="63"/>
      </top>
      <bottom style="medium"/>
    </border>
    <border>
      <left style="thin"/>
      <right>
        <color indexed="63"/>
      </right>
      <top style="thin"/>
      <bottom style="thin"/>
    </border>
    <border>
      <left style="thin"/>
      <right>
        <color indexed="63"/>
      </right>
      <top style="thin"/>
      <bottom style="medium"/>
    </border>
    <border>
      <left style="medium"/>
      <right style="thick"/>
      <top style="medium"/>
      <bottom style="medium"/>
    </border>
    <border>
      <left style="thick"/>
      <right style="medium"/>
      <top style="medium"/>
      <bottom style="medium"/>
    </border>
    <border>
      <left style="medium"/>
      <right style="medium"/>
      <top style="thin"/>
      <bottom>
        <color indexed="63"/>
      </bottom>
    </border>
    <border>
      <left style="thick"/>
      <right style="thick"/>
      <top>
        <color indexed="63"/>
      </top>
      <bottom>
        <color indexed="63"/>
      </bottom>
    </border>
    <border>
      <left style="medium"/>
      <right style="thick"/>
      <top style="thick"/>
      <bottom style="thick"/>
    </border>
    <border>
      <left style="thick"/>
      <right>
        <color indexed="63"/>
      </right>
      <top style="thick"/>
      <bottom style="thick"/>
    </border>
    <border>
      <left>
        <color indexed="63"/>
      </left>
      <right style="medium"/>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ck"/>
      <right style="medium"/>
      <top style="thick"/>
      <bottom>
        <color indexed="63"/>
      </bottom>
    </border>
    <border>
      <left style="medium"/>
      <right style="medium"/>
      <top style="thick"/>
      <bottom>
        <color indexed="63"/>
      </bottom>
    </border>
    <border>
      <left style="thin"/>
      <right>
        <color indexed="63"/>
      </right>
      <top style="medium"/>
      <bottom style="thin"/>
    </border>
    <border>
      <left>
        <color indexed="63"/>
      </left>
      <right>
        <color indexed="63"/>
      </right>
      <top>
        <color indexed="63"/>
      </top>
      <bottom style="thick"/>
    </border>
    <border>
      <left style="medium"/>
      <right>
        <color indexed="63"/>
      </right>
      <top style="medium"/>
      <bottom>
        <color indexed="63"/>
      </bottom>
    </border>
    <border>
      <left>
        <color indexed="63"/>
      </left>
      <right style="thin"/>
      <top style="medium"/>
      <bottom>
        <color indexed="63"/>
      </bottom>
    </border>
    <border>
      <left>
        <color indexed="63"/>
      </left>
      <right style="medium"/>
      <top style="thick"/>
      <bottom style="thick"/>
    </border>
    <border>
      <left>
        <color indexed="63"/>
      </left>
      <right style="medium"/>
      <top>
        <color indexed="63"/>
      </top>
      <bottom>
        <color indexed="63"/>
      </bottom>
    </border>
    <border>
      <left>
        <color indexed="63"/>
      </left>
      <right style="thick"/>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1">
    <xf numFmtId="0" fontId="0" fillId="0" borderId="0" xfId="0" applyAlignment="1">
      <alignment/>
    </xf>
    <xf numFmtId="1" fontId="0" fillId="0" borderId="0" xfId="0" applyNumberFormat="1" applyAlignment="1">
      <alignment/>
    </xf>
    <xf numFmtId="9" fontId="0" fillId="0" borderId="0" xfId="0" applyNumberFormat="1" applyAlignment="1">
      <alignment/>
    </xf>
    <xf numFmtId="0" fontId="0" fillId="0" borderId="0" xfId="0" applyAlignment="1">
      <alignment horizontal="center"/>
    </xf>
    <xf numFmtId="9" fontId="1" fillId="2" borderId="1" xfId="0" applyNumberFormat="1" applyFont="1" applyFill="1" applyBorder="1" applyAlignment="1">
      <alignment/>
    </xf>
    <xf numFmtId="9" fontId="1" fillId="2" borderId="2" xfId="0" applyNumberFormat="1" applyFont="1" applyFill="1" applyBorder="1" applyAlignment="1">
      <alignment/>
    </xf>
    <xf numFmtId="9" fontId="1" fillId="3" borderId="3" xfId="0" applyNumberFormat="1" applyFont="1" applyFill="1" applyBorder="1" applyAlignment="1">
      <alignment horizontal="center"/>
    </xf>
    <xf numFmtId="9" fontId="1" fillId="3" borderId="4" xfId="0" applyNumberFormat="1" applyFont="1" applyFill="1" applyBorder="1" applyAlignment="1">
      <alignment horizontal="center"/>
    </xf>
    <xf numFmtId="9" fontId="1" fillId="3" borderId="5" xfId="0" applyNumberFormat="1" applyFont="1" applyFill="1" applyBorder="1" applyAlignment="1">
      <alignment horizontal="center"/>
    </xf>
    <xf numFmtId="0" fontId="7" fillId="2" borderId="6" xfId="0" applyFont="1" applyFill="1" applyBorder="1" applyAlignment="1">
      <alignment horizontal="center"/>
    </xf>
    <xf numFmtId="0" fontId="7" fillId="2" borderId="6" xfId="0" applyFont="1" applyFill="1" applyBorder="1" applyAlignment="1">
      <alignment/>
    </xf>
    <xf numFmtId="0" fontId="5" fillId="0" borderId="0" xfId="0" applyFont="1" applyFill="1" applyBorder="1" applyAlignment="1">
      <alignment horizontal="center"/>
    </xf>
    <xf numFmtId="1" fontId="4" fillId="0" borderId="0" xfId="0" applyNumberFormat="1" applyFont="1" applyFill="1" applyBorder="1" applyAlignment="1" applyProtection="1">
      <alignment horizontal="center"/>
      <protection locked="0"/>
    </xf>
    <xf numFmtId="0" fontId="1" fillId="2" borderId="1" xfId="0" applyFont="1" applyFill="1" applyBorder="1" applyAlignment="1" applyProtection="1">
      <alignment/>
      <protection hidden="1"/>
    </xf>
    <xf numFmtId="1" fontId="1" fillId="2" borderId="2" xfId="0" applyNumberFormat="1" applyFont="1" applyFill="1" applyBorder="1" applyAlignment="1" applyProtection="1">
      <alignment/>
      <protection hidden="1"/>
    </xf>
    <xf numFmtId="0" fontId="1" fillId="2" borderId="2" xfId="0" applyFont="1" applyFill="1" applyBorder="1" applyAlignment="1" applyProtection="1">
      <alignment/>
      <protection hidden="1"/>
    </xf>
    <xf numFmtId="1" fontId="1" fillId="2" borderId="7" xfId="0" applyNumberFormat="1" applyFont="1" applyFill="1" applyBorder="1" applyAlignment="1" applyProtection="1">
      <alignment/>
      <protection hidden="1"/>
    </xf>
    <xf numFmtId="1" fontId="1" fillId="2" borderId="8" xfId="0" applyNumberFormat="1" applyFont="1" applyFill="1" applyBorder="1" applyAlignment="1" applyProtection="1">
      <alignment/>
      <protection hidden="1"/>
    </xf>
    <xf numFmtId="1" fontId="3" fillId="3" borderId="6" xfId="0" applyNumberFormat="1" applyFont="1" applyFill="1" applyBorder="1" applyAlignment="1" applyProtection="1">
      <alignment horizontal="center"/>
      <protection hidden="1"/>
    </xf>
    <xf numFmtId="1" fontId="5" fillId="0" borderId="0" xfId="0" applyNumberFormat="1" applyFont="1" applyFill="1" applyBorder="1" applyAlignment="1">
      <alignment horizontal="center"/>
    </xf>
    <xf numFmtId="3" fontId="1" fillId="3" borderId="7" xfId="0" applyNumberFormat="1" applyFont="1" applyFill="1" applyBorder="1" applyAlignment="1" applyProtection="1">
      <alignment/>
      <protection hidden="1"/>
    </xf>
    <xf numFmtId="3" fontId="1" fillId="3" borderId="9" xfId="0" applyNumberFormat="1" applyFont="1" applyFill="1" applyBorder="1" applyAlignment="1" applyProtection="1">
      <alignment/>
      <protection hidden="1"/>
    </xf>
    <xf numFmtId="0" fontId="3" fillId="0" borderId="0" xfId="0" applyFont="1" applyFill="1" applyBorder="1" applyAlignment="1">
      <alignment horizontal="center"/>
    </xf>
    <xf numFmtId="0" fontId="9" fillId="0" borderId="0" xfId="0" applyFont="1" applyFill="1" applyBorder="1" applyAlignment="1">
      <alignment horizontal="center"/>
    </xf>
    <xf numFmtId="0" fontId="0" fillId="0" borderId="0" xfId="0" applyFont="1" applyAlignment="1">
      <alignment/>
    </xf>
    <xf numFmtId="0" fontId="8" fillId="0" borderId="0" xfId="0" applyFont="1" applyFill="1" applyBorder="1" applyAlignment="1">
      <alignment horizontal="center"/>
    </xf>
    <xf numFmtId="1" fontId="8" fillId="0" borderId="0" xfId="0" applyNumberFormat="1" applyFont="1" applyFill="1" applyBorder="1" applyAlignment="1">
      <alignment horizontal="center"/>
    </xf>
    <xf numFmtId="0" fontId="1" fillId="0" borderId="0" xfId="0" applyFont="1" applyFill="1" applyBorder="1" applyAlignment="1">
      <alignment horizontal="center"/>
    </xf>
    <xf numFmtId="0" fontId="1" fillId="2" borderId="3" xfId="0" applyFont="1" applyFill="1" applyBorder="1" applyAlignment="1">
      <alignment/>
    </xf>
    <xf numFmtId="0" fontId="1" fillId="2" borderId="10" xfId="0" applyFont="1" applyFill="1" applyBorder="1" applyAlignment="1">
      <alignment/>
    </xf>
    <xf numFmtId="0" fontId="1" fillId="2" borderId="5" xfId="0" applyFont="1" applyFill="1" applyBorder="1" applyAlignment="1">
      <alignment/>
    </xf>
    <xf numFmtId="1" fontId="1" fillId="2" borderId="11" xfId="0" applyNumberFormat="1" applyFont="1" applyFill="1" applyBorder="1" applyAlignment="1" applyProtection="1">
      <alignment/>
      <protection hidden="1"/>
    </xf>
    <xf numFmtId="9" fontId="1" fillId="2" borderId="11" xfId="0" applyNumberFormat="1" applyFont="1" applyFill="1" applyBorder="1" applyAlignment="1">
      <alignment/>
    </xf>
    <xf numFmtId="1" fontId="1" fillId="2" borderId="9" xfId="0" applyNumberFormat="1" applyFont="1" applyFill="1" applyBorder="1" applyAlignment="1" applyProtection="1">
      <alignment/>
      <protection hidden="1"/>
    </xf>
    <xf numFmtId="0" fontId="3" fillId="4" borderId="6" xfId="0" applyFont="1" applyFill="1" applyBorder="1" applyAlignment="1">
      <alignment horizontal="center"/>
    </xf>
    <xf numFmtId="0" fontId="4" fillId="3" borderId="6" xfId="0" applyFont="1" applyFill="1" applyBorder="1" applyAlignment="1">
      <alignment horizontal="center"/>
    </xf>
    <xf numFmtId="0" fontId="4" fillId="0" borderId="0" xfId="0" applyFont="1" applyBorder="1" applyAlignment="1">
      <alignment horizontal="center"/>
    </xf>
    <xf numFmtId="1" fontId="0" fillId="0" borderId="0" xfId="0" applyNumberFormat="1" applyAlignment="1" applyProtection="1">
      <alignment/>
      <protection hidden="1"/>
    </xf>
    <xf numFmtId="0" fontId="1" fillId="3" borderId="6" xfId="0" applyFont="1" applyFill="1" applyBorder="1" applyAlignment="1">
      <alignment horizontal="center"/>
    </xf>
    <xf numFmtId="0" fontId="1" fillId="5" borderId="6" xfId="0" applyFont="1" applyFill="1" applyBorder="1" applyAlignment="1">
      <alignment horizontal="center"/>
    </xf>
    <xf numFmtId="1" fontId="2" fillId="3" borderId="6" xfId="0" applyNumberFormat="1" applyFont="1" applyFill="1" applyBorder="1" applyAlignment="1">
      <alignment horizontal="center"/>
    </xf>
    <xf numFmtId="0" fontId="1" fillId="6" borderId="6" xfId="0" applyFont="1" applyFill="1" applyBorder="1" applyAlignment="1">
      <alignment horizontal="center"/>
    </xf>
    <xf numFmtId="1" fontId="2" fillId="6" borderId="6" xfId="0" applyNumberFormat="1" applyFont="1" applyFill="1" applyBorder="1" applyAlignment="1">
      <alignment horizontal="center"/>
    </xf>
    <xf numFmtId="1" fontId="2" fillId="5" borderId="6" xfId="0" applyNumberFormat="1" applyFont="1" applyFill="1" applyBorder="1" applyAlignment="1">
      <alignment horizontal="center"/>
    </xf>
    <xf numFmtId="0" fontId="1" fillId="0" borderId="12" xfId="0" applyFont="1" applyBorder="1" applyAlignment="1">
      <alignment/>
    </xf>
    <xf numFmtId="0" fontId="2" fillId="0" borderId="13" xfId="0" applyFont="1" applyBorder="1" applyAlignment="1">
      <alignment horizontal="center"/>
    </xf>
    <xf numFmtId="1" fontId="3" fillId="0" borderId="14" xfId="0" applyNumberFormat="1" applyFont="1" applyBorder="1" applyAlignment="1" applyProtection="1">
      <alignment horizontal="center"/>
      <protection hidden="1"/>
    </xf>
    <xf numFmtId="1" fontId="6" fillId="7" borderId="6" xfId="0" applyNumberFormat="1" applyFont="1" applyFill="1" applyBorder="1" applyAlignment="1" applyProtection="1">
      <alignment horizontal="center" vertical="center"/>
      <protection hidden="1"/>
    </xf>
    <xf numFmtId="1" fontId="5" fillId="0" borderId="0" xfId="0" applyNumberFormat="1" applyFont="1" applyFill="1" applyBorder="1" applyAlignment="1">
      <alignment horizontal="center" wrapText="1" shrinkToFit="1"/>
    </xf>
    <xf numFmtId="1" fontId="7" fillId="0" borderId="6" xfId="0" applyNumberFormat="1" applyFont="1" applyBorder="1" applyAlignment="1" applyProtection="1">
      <alignment horizontal="center"/>
      <protection hidden="1"/>
    </xf>
    <xf numFmtId="0" fontId="4" fillId="2" borderId="15" xfId="0" applyFont="1" applyFill="1" applyBorder="1" applyAlignment="1" applyProtection="1">
      <alignment horizontal="center"/>
      <protection locked="0"/>
    </xf>
    <xf numFmtId="0" fontId="2" fillId="0" borderId="0" xfId="0" applyFont="1" applyFill="1" applyBorder="1" applyAlignment="1">
      <alignment horizontal="center"/>
    </xf>
    <xf numFmtId="0" fontId="1" fillId="6" borderId="16" xfId="0" applyFont="1" applyFill="1" applyBorder="1" applyAlignment="1">
      <alignment horizontal="center"/>
    </xf>
    <xf numFmtId="0" fontId="1" fillId="6" borderId="15" xfId="0" applyFont="1" applyFill="1" applyBorder="1" applyAlignment="1">
      <alignment horizontal="center"/>
    </xf>
    <xf numFmtId="0" fontId="1" fillId="6" borderId="17" xfId="0" applyFont="1" applyFill="1" applyBorder="1" applyAlignment="1">
      <alignment horizontal="center"/>
    </xf>
    <xf numFmtId="0" fontId="1" fillId="4" borderId="18" xfId="0" applyFont="1" applyFill="1" applyBorder="1" applyAlignment="1" applyProtection="1">
      <alignment horizontal="center"/>
      <protection hidden="1"/>
    </xf>
    <xf numFmtId="0" fontId="1" fillId="3" borderId="6" xfId="0" applyFont="1" applyFill="1" applyBorder="1" applyAlignment="1" applyProtection="1">
      <alignment horizontal="center"/>
      <protection hidden="1"/>
    </xf>
    <xf numFmtId="0" fontId="1" fillId="8" borderId="6" xfId="0" applyFont="1" applyFill="1" applyBorder="1" applyAlignment="1" applyProtection="1">
      <alignment horizontal="center"/>
      <protection hidden="1"/>
    </xf>
    <xf numFmtId="0" fontId="1" fillId="9" borderId="6" xfId="0" applyFont="1" applyFill="1" applyBorder="1" applyAlignment="1" applyProtection="1">
      <alignment horizontal="center"/>
      <protection hidden="1"/>
    </xf>
    <xf numFmtId="0" fontId="19" fillId="10" borderId="19" xfId="0" applyFont="1" applyFill="1" applyBorder="1" applyAlignment="1" applyProtection="1">
      <alignment horizontal="center"/>
      <protection hidden="1"/>
    </xf>
    <xf numFmtId="0" fontId="1" fillId="4" borderId="3" xfId="0" applyFont="1" applyFill="1" applyBorder="1" applyAlignment="1">
      <alignment/>
    </xf>
    <xf numFmtId="0" fontId="1" fillId="4" borderId="1" xfId="0" applyFont="1" applyFill="1" applyBorder="1" applyAlignment="1" applyProtection="1">
      <alignment/>
      <protection hidden="1"/>
    </xf>
    <xf numFmtId="9" fontId="1" fillId="4" borderId="1" xfId="0" applyNumberFormat="1" applyFont="1" applyFill="1" applyBorder="1" applyAlignment="1">
      <alignment/>
    </xf>
    <xf numFmtId="1" fontId="2" fillId="4" borderId="7" xfId="0" applyNumberFormat="1" applyFont="1" applyFill="1" applyBorder="1" applyAlignment="1" applyProtection="1">
      <alignment/>
      <protection hidden="1"/>
    </xf>
    <xf numFmtId="0" fontId="1" fillId="3" borderId="10" xfId="0" applyFont="1" applyFill="1" applyBorder="1" applyAlignment="1">
      <alignment/>
    </xf>
    <xf numFmtId="1" fontId="1" fillId="3" borderId="2" xfId="0" applyNumberFormat="1" applyFont="1" applyFill="1" applyBorder="1" applyAlignment="1" applyProtection="1">
      <alignment/>
      <protection hidden="1"/>
    </xf>
    <xf numFmtId="9" fontId="1" fillId="3" borderId="2" xfId="0" applyNumberFormat="1" applyFont="1" applyFill="1" applyBorder="1" applyAlignment="1">
      <alignment/>
    </xf>
    <xf numFmtId="1" fontId="2" fillId="3" borderId="8" xfId="0" applyNumberFormat="1" applyFont="1" applyFill="1" applyBorder="1" applyAlignment="1" applyProtection="1">
      <alignment/>
      <protection hidden="1"/>
    </xf>
    <xf numFmtId="0" fontId="1" fillId="8" borderId="10" xfId="0" applyFont="1" applyFill="1" applyBorder="1" applyAlignment="1">
      <alignment/>
    </xf>
    <xf numFmtId="0" fontId="1" fillId="8" borderId="2" xfId="0" applyFont="1" applyFill="1" applyBorder="1" applyAlignment="1" applyProtection="1">
      <alignment/>
      <protection hidden="1"/>
    </xf>
    <xf numFmtId="9" fontId="1" fillId="8" borderId="2" xfId="0" applyNumberFormat="1" applyFont="1" applyFill="1" applyBorder="1" applyAlignment="1">
      <alignment/>
    </xf>
    <xf numFmtId="1" fontId="2" fillId="8" borderId="8" xfId="0" applyNumberFormat="1" applyFont="1" applyFill="1" applyBorder="1" applyAlignment="1" applyProtection="1">
      <alignment/>
      <protection hidden="1"/>
    </xf>
    <xf numFmtId="0" fontId="1" fillId="9" borderId="10" xfId="0" applyFont="1" applyFill="1" applyBorder="1" applyAlignment="1">
      <alignment/>
    </xf>
    <xf numFmtId="1" fontId="1" fillId="9" borderId="2" xfId="0" applyNumberFormat="1" applyFont="1" applyFill="1" applyBorder="1" applyAlignment="1" applyProtection="1">
      <alignment/>
      <protection hidden="1"/>
    </xf>
    <xf numFmtId="9" fontId="1" fillId="9" borderId="2" xfId="0" applyNumberFormat="1" applyFont="1" applyFill="1" applyBorder="1" applyAlignment="1">
      <alignment/>
    </xf>
    <xf numFmtId="1" fontId="2" fillId="9" borderId="8" xfId="0" applyNumberFormat="1" applyFont="1" applyFill="1" applyBorder="1" applyAlignment="1" applyProtection="1">
      <alignment/>
      <protection hidden="1"/>
    </xf>
    <xf numFmtId="0" fontId="19" fillId="10" borderId="4" xfId="0" applyFont="1" applyFill="1" applyBorder="1" applyAlignment="1">
      <alignment/>
    </xf>
    <xf numFmtId="1" fontId="19" fillId="10" borderId="11" xfId="0" applyNumberFormat="1" applyFont="1" applyFill="1" applyBorder="1" applyAlignment="1" applyProtection="1">
      <alignment/>
      <protection hidden="1"/>
    </xf>
    <xf numFmtId="9" fontId="19" fillId="10" borderId="11" xfId="0" applyNumberFormat="1" applyFont="1" applyFill="1" applyBorder="1" applyAlignment="1">
      <alignment/>
    </xf>
    <xf numFmtId="1" fontId="21" fillId="10" borderId="9" xfId="0" applyNumberFormat="1" applyFont="1" applyFill="1" applyBorder="1" applyAlignment="1" applyProtection="1">
      <alignment/>
      <protection hidden="1"/>
    </xf>
    <xf numFmtId="0" fontId="19" fillId="11" borderId="5" xfId="0" applyFont="1" applyFill="1" applyBorder="1" applyAlignment="1">
      <alignment/>
    </xf>
    <xf numFmtId="3" fontId="6" fillId="4" borderId="15" xfId="0" applyNumberFormat="1" applyFont="1" applyFill="1" applyBorder="1" applyAlignment="1" applyProtection="1">
      <alignment horizontal="center"/>
      <protection locked="0"/>
    </xf>
    <xf numFmtId="4" fontId="4" fillId="12" borderId="6" xfId="0" applyNumberFormat="1" applyFont="1" applyFill="1" applyBorder="1" applyAlignment="1" applyProtection="1">
      <alignment horizontal="center"/>
      <protection locked="0"/>
    </xf>
    <xf numFmtId="0" fontId="2" fillId="0" borderId="6" xfId="0" applyFont="1" applyBorder="1" applyAlignment="1">
      <alignment horizontal="center" vertical="center"/>
    </xf>
    <xf numFmtId="1" fontId="0" fillId="0" borderId="6" xfId="0" applyNumberFormat="1" applyBorder="1" applyAlignment="1" applyProtection="1">
      <alignment horizontal="center"/>
      <protection hidden="1"/>
    </xf>
    <xf numFmtId="0" fontId="1" fillId="0" borderId="6" xfId="0" applyFont="1" applyBorder="1" applyAlignment="1">
      <alignment horizontal="center"/>
    </xf>
    <xf numFmtId="1" fontId="1" fillId="0" borderId="6" xfId="0" applyNumberFormat="1" applyFont="1" applyBorder="1" applyAlignment="1">
      <alignment horizontal="center"/>
    </xf>
    <xf numFmtId="1" fontId="3" fillId="0" borderId="0" xfId="0" applyNumberFormat="1" applyFont="1" applyBorder="1" applyAlignment="1" applyProtection="1">
      <alignment horizontal="center"/>
      <protection hidden="1"/>
    </xf>
    <xf numFmtId="1" fontId="0" fillId="0" borderId="0" xfId="0" applyNumberFormat="1" applyBorder="1" applyAlignment="1" applyProtection="1">
      <alignment horizontal="center"/>
      <protection hidden="1"/>
    </xf>
    <xf numFmtId="3" fontId="4" fillId="3" borderId="15" xfId="0" applyNumberFormat="1" applyFont="1" applyFill="1" applyBorder="1" applyAlignment="1" applyProtection="1">
      <alignment horizontal="center"/>
      <protection locked="0"/>
    </xf>
    <xf numFmtId="0" fontId="1" fillId="13" borderId="20" xfId="0" applyFont="1" applyFill="1" applyBorder="1" applyAlignment="1">
      <alignment horizontal="center"/>
    </xf>
    <xf numFmtId="1" fontId="2" fillId="13" borderId="6" xfId="0" applyNumberFormat="1" applyFont="1" applyFill="1" applyBorder="1" applyAlignment="1" applyProtection="1">
      <alignment horizontal="center"/>
      <protection hidden="1"/>
    </xf>
    <xf numFmtId="0" fontId="1" fillId="14" borderId="20" xfId="0" applyFont="1" applyFill="1" applyBorder="1" applyAlignment="1">
      <alignment/>
    </xf>
    <xf numFmtId="1" fontId="2" fillId="14" borderId="6" xfId="0" applyNumberFormat="1" applyFont="1" applyFill="1" applyBorder="1" applyAlignment="1">
      <alignment horizontal="center"/>
    </xf>
    <xf numFmtId="0" fontId="1" fillId="15" borderId="6" xfId="0" applyFont="1" applyFill="1" applyBorder="1" applyAlignment="1">
      <alignment/>
    </xf>
    <xf numFmtId="1" fontId="2" fillId="15" borderId="21" xfId="0" applyNumberFormat="1" applyFont="1" applyFill="1" applyBorder="1" applyAlignment="1">
      <alignment horizontal="center"/>
    </xf>
    <xf numFmtId="0" fontId="1" fillId="16" borderId="20" xfId="0" applyFont="1" applyFill="1" applyBorder="1" applyAlignment="1">
      <alignment horizontal="center"/>
    </xf>
    <xf numFmtId="1" fontId="2" fillId="16" borderId="6" xfId="0" applyNumberFormat="1" applyFont="1" applyFill="1" applyBorder="1" applyAlignment="1" applyProtection="1">
      <alignment horizontal="center"/>
      <protection hidden="1"/>
    </xf>
    <xf numFmtId="0" fontId="1" fillId="3" borderId="6" xfId="0" applyFont="1" applyFill="1" applyBorder="1" applyAlignment="1">
      <alignment/>
    </xf>
    <xf numFmtId="1" fontId="3" fillId="3" borderId="6" xfId="0" applyNumberFormat="1" applyFont="1" applyFill="1" applyBorder="1" applyAlignment="1">
      <alignment horizontal="center"/>
    </xf>
    <xf numFmtId="0" fontId="1" fillId="4" borderId="22" xfId="0" applyFont="1" applyFill="1" applyBorder="1" applyAlignment="1" applyProtection="1">
      <alignment horizontal="right"/>
      <protection hidden="1"/>
    </xf>
    <xf numFmtId="1" fontId="7" fillId="4" borderId="23" xfId="0" applyNumberFormat="1" applyFont="1" applyFill="1" applyBorder="1" applyAlignment="1" applyProtection="1">
      <alignment/>
      <protection hidden="1"/>
    </xf>
    <xf numFmtId="9" fontId="1" fillId="4" borderId="23" xfId="0" applyNumberFormat="1" applyFont="1" applyFill="1" applyBorder="1" applyAlignment="1" applyProtection="1">
      <alignment horizontal="center"/>
      <protection hidden="1"/>
    </xf>
    <xf numFmtId="1" fontId="7" fillId="4" borderId="24" xfId="0" applyNumberFormat="1" applyFont="1" applyFill="1" applyBorder="1" applyAlignment="1" applyProtection="1">
      <alignment/>
      <protection hidden="1"/>
    </xf>
    <xf numFmtId="0" fontId="1" fillId="3" borderId="10" xfId="0" applyFont="1" applyFill="1" applyBorder="1" applyAlignment="1" applyProtection="1">
      <alignment horizontal="right"/>
      <protection hidden="1"/>
    </xf>
    <xf numFmtId="1" fontId="7" fillId="3" borderId="2" xfId="0" applyNumberFormat="1" applyFont="1" applyFill="1" applyBorder="1" applyAlignment="1" applyProtection="1">
      <alignment/>
      <protection hidden="1"/>
    </xf>
    <xf numFmtId="9" fontId="1" fillId="3" borderId="2"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protection hidden="1"/>
    </xf>
    <xf numFmtId="0" fontId="1" fillId="8" borderId="10" xfId="0" applyFont="1" applyFill="1" applyBorder="1" applyAlignment="1" applyProtection="1">
      <alignment horizontal="right"/>
      <protection hidden="1"/>
    </xf>
    <xf numFmtId="1" fontId="7" fillId="8" borderId="2" xfId="0" applyNumberFormat="1" applyFont="1" applyFill="1" applyBorder="1" applyAlignment="1" applyProtection="1">
      <alignment/>
      <protection hidden="1"/>
    </xf>
    <xf numFmtId="9" fontId="1" fillId="8" borderId="2" xfId="0" applyNumberFormat="1" applyFont="1" applyFill="1" applyBorder="1" applyAlignment="1" applyProtection="1">
      <alignment horizontal="center"/>
      <protection hidden="1"/>
    </xf>
    <xf numFmtId="1" fontId="7" fillId="8" borderId="8" xfId="0" applyNumberFormat="1" applyFont="1" applyFill="1" applyBorder="1" applyAlignment="1" applyProtection="1">
      <alignment/>
      <protection hidden="1"/>
    </xf>
    <xf numFmtId="0" fontId="1" fillId="9" borderId="10" xfId="0" applyFont="1" applyFill="1" applyBorder="1" applyAlignment="1" applyProtection="1">
      <alignment horizontal="right"/>
      <protection hidden="1"/>
    </xf>
    <xf numFmtId="1" fontId="7" fillId="9" borderId="2" xfId="0" applyNumberFormat="1" applyFont="1" applyFill="1" applyBorder="1" applyAlignment="1" applyProtection="1">
      <alignment/>
      <protection hidden="1"/>
    </xf>
    <xf numFmtId="9" fontId="1" fillId="9" borderId="2" xfId="0" applyNumberFormat="1" applyFont="1" applyFill="1" applyBorder="1" applyAlignment="1" applyProtection="1">
      <alignment horizontal="center"/>
      <protection hidden="1"/>
    </xf>
    <xf numFmtId="1" fontId="7" fillId="9" borderId="8" xfId="0" applyNumberFormat="1" applyFont="1" applyFill="1" applyBorder="1" applyAlignment="1" applyProtection="1">
      <alignment/>
      <protection hidden="1"/>
    </xf>
    <xf numFmtId="0" fontId="19" fillId="10" borderId="5" xfId="0" applyFont="1" applyFill="1" applyBorder="1" applyAlignment="1" applyProtection="1">
      <alignment horizontal="right"/>
      <protection hidden="1"/>
    </xf>
    <xf numFmtId="1" fontId="20" fillId="10" borderId="25" xfId="0" applyNumberFormat="1" applyFont="1" applyFill="1" applyBorder="1" applyAlignment="1" applyProtection="1">
      <alignment/>
      <protection hidden="1"/>
    </xf>
    <xf numFmtId="9" fontId="19" fillId="10" borderId="25" xfId="0" applyNumberFormat="1" applyFont="1" applyFill="1" applyBorder="1" applyAlignment="1" applyProtection="1">
      <alignment horizontal="center"/>
      <protection hidden="1"/>
    </xf>
    <xf numFmtId="1" fontId="20" fillId="10" borderId="26" xfId="0" applyNumberFormat="1" applyFont="1" applyFill="1" applyBorder="1" applyAlignment="1" applyProtection="1">
      <alignment/>
      <protection hidden="1"/>
    </xf>
    <xf numFmtId="0" fontId="0" fillId="0" borderId="0" xfId="0" applyAlignment="1" applyProtection="1">
      <alignment/>
      <protection hidden="1"/>
    </xf>
    <xf numFmtId="0" fontId="2" fillId="17" borderId="14" xfId="0" applyFont="1" applyFill="1" applyBorder="1" applyAlignment="1" applyProtection="1">
      <alignment horizontal="center"/>
      <protection hidden="1"/>
    </xf>
    <xf numFmtId="0" fontId="7" fillId="4" borderId="27" xfId="0" applyFont="1" applyFill="1" applyBorder="1" applyAlignment="1" applyProtection="1">
      <alignment/>
      <protection hidden="1"/>
    </xf>
    <xf numFmtId="0" fontId="7" fillId="3" borderId="27" xfId="0" applyFont="1" applyFill="1" applyBorder="1" applyAlignment="1" applyProtection="1">
      <alignment/>
      <protection hidden="1"/>
    </xf>
    <xf numFmtId="0" fontId="7" fillId="8" borderId="27" xfId="0" applyFont="1" applyFill="1" applyBorder="1" applyAlignment="1" applyProtection="1">
      <alignment/>
      <protection hidden="1"/>
    </xf>
    <xf numFmtId="0" fontId="7" fillId="9" borderId="19" xfId="0" applyFont="1" applyFill="1" applyBorder="1" applyAlignment="1" applyProtection="1">
      <alignment/>
      <protection hidden="1"/>
    </xf>
    <xf numFmtId="3" fontId="3" fillId="18" borderId="6" xfId="0" applyNumberFormat="1" applyFont="1" applyFill="1" applyBorder="1" applyAlignment="1" applyProtection="1">
      <alignment horizontal="center"/>
      <protection locked="0"/>
    </xf>
    <xf numFmtId="1" fontId="24" fillId="19" borderId="28" xfId="0" applyNumberFormat="1" applyFont="1" applyFill="1" applyBorder="1" applyAlignment="1" applyProtection="1">
      <alignment horizontal="center" vertical="center"/>
      <protection locked="0"/>
    </xf>
    <xf numFmtId="1" fontId="24" fillId="0" borderId="29" xfId="0" applyNumberFormat="1" applyFont="1" applyFill="1" applyBorder="1" applyAlignment="1" applyProtection="1">
      <alignment horizontal="center" vertical="center"/>
      <protection locked="0"/>
    </xf>
    <xf numFmtId="1" fontId="4" fillId="0" borderId="0" xfId="0" applyNumberFormat="1" applyFont="1" applyFill="1" applyBorder="1" applyAlignment="1" applyProtection="1">
      <alignment horizontal="center" vertical="center"/>
      <protection locked="0"/>
    </xf>
    <xf numFmtId="0" fontId="1" fillId="2" borderId="6" xfId="0" applyFont="1" applyFill="1" applyBorder="1" applyAlignment="1">
      <alignment horizontal="center"/>
    </xf>
    <xf numFmtId="3" fontId="4" fillId="2" borderId="30" xfId="0" applyNumberFormat="1" applyFont="1" applyFill="1" applyBorder="1" applyAlignment="1" applyProtection="1">
      <alignment horizontal="center"/>
      <protection locked="0"/>
    </xf>
    <xf numFmtId="0" fontId="0" fillId="0" borderId="17" xfId="0" applyBorder="1" applyAlignment="1">
      <alignment/>
    </xf>
    <xf numFmtId="0" fontId="1" fillId="14" borderId="6" xfId="0" applyFont="1" applyFill="1" applyBorder="1" applyAlignment="1">
      <alignment horizontal="center"/>
    </xf>
    <xf numFmtId="0" fontId="1" fillId="20" borderId="6" xfId="0" applyFont="1" applyFill="1" applyBorder="1" applyAlignment="1">
      <alignment horizontal="center"/>
    </xf>
    <xf numFmtId="0" fontId="2" fillId="2" borderId="20" xfId="0" applyFont="1" applyFill="1" applyBorder="1" applyAlignment="1">
      <alignment/>
    </xf>
    <xf numFmtId="0" fontId="2" fillId="2" borderId="31" xfId="0" applyFont="1" applyFill="1" applyBorder="1" applyAlignment="1">
      <alignment/>
    </xf>
    <xf numFmtId="0" fontId="2" fillId="2" borderId="15" xfId="0" applyFont="1" applyFill="1" applyBorder="1" applyAlignment="1">
      <alignment/>
    </xf>
    <xf numFmtId="0" fontId="2" fillId="2" borderId="6" xfId="0" applyFont="1" applyFill="1" applyBorder="1" applyAlignment="1">
      <alignment horizontal="center"/>
    </xf>
    <xf numFmtId="1" fontId="4" fillId="0" borderId="0" xfId="0" applyNumberFormat="1" applyFont="1" applyFill="1" applyBorder="1" applyAlignment="1">
      <alignment horizontal="center"/>
    </xf>
    <xf numFmtId="3" fontId="4" fillId="2" borderId="28" xfId="0" applyNumberFormat="1" applyFont="1" applyFill="1" applyBorder="1" applyAlignment="1" applyProtection="1">
      <alignment horizontal="center" wrapText="1" shrinkToFit="1"/>
      <protection locked="0"/>
    </xf>
    <xf numFmtId="3" fontId="4" fillId="2" borderId="32" xfId="0" applyNumberFormat="1" applyFont="1" applyFill="1" applyBorder="1" applyAlignment="1" applyProtection="1">
      <alignment horizontal="center" wrapText="1" shrinkToFit="1"/>
      <protection locked="0"/>
    </xf>
    <xf numFmtId="3" fontId="4" fillId="2" borderId="30" xfId="0" applyNumberFormat="1" applyFont="1" applyFill="1" applyBorder="1" applyAlignment="1" applyProtection="1">
      <alignment horizontal="center" wrapText="1" shrinkToFit="1"/>
      <protection locked="0"/>
    </xf>
    <xf numFmtId="0" fontId="2" fillId="21" borderId="6" xfId="0" applyFont="1" applyFill="1" applyBorder="1" applyAlignment="1">
      <alignment horizontal="center"/>
    </xf>
    <xf numFmtId="1" fontId="5" fillId="0" borderId="33" xfId="0" applyNumberFormat="1" applyFont="1" applyFill="1" applyBorder="1" applyAlignment="1">
      <alignment horizontal="center" wrapText="1" shrinkToFit="1"/>
    </xf>
    <xf numFmtId="1" fontId="8" fillId="0" borderId="33" xfId="0" applyNumberFormat="1" applyFont="1" applyFill="1" applyBorder="1" applyAlignment="1">
      <alignment horizontal="center" vertical="center" wrapText="1" shrinkToFit="1"/>
    </xf>
    <xf numFmtId="3" fontId="4" fillId="14" borderId="34" xfId="0" applyNumberFormat="1" applyFont="1" applyFill="1" applyBorder="1" applyAlignment="1" applyProtection="1">
      <alignment horizontal="center"/>
      <protection locked="0"/>
    </xf>
    <xf numFmtId="3" fontId="4" fillId="14" borderId="35" xfId="0" applyNumberFormat="1" applyFont="1" applyFill="1" applyBorder="1" applyAlignment="1" applyProtection="1">
      <alignment horizontal="center"/>
      <protection locked="0"/>
    </xf>
    <xf numFmtId="3" fontId="4" fillId="20" borderId="35" xfId="0" applyNumberFormat="1" applyFont="1" applyFill="1" applyBorder="1" applyAlignment="1" applyProtection="1">
      <alignment horizontal="center"/>
      <protection locked="0"/>
    </xf>
    <xf numFmtId="1" fontId="21" fillId="11" borderId="9" xfId="0" applyNumberFormat="1" applyFont="1" applyFill="1" applyBorder="1" applyAlignment="1" applyProtection="1">
      <alignment/>
      <protection hidden="1"/>
    </xf>
    <xf numFmtId="1" fontId="8" fillId="0" borderId="0" xfId="0" applyNumberFormat="1" applyFont="1" applyFill="1" applyBorder="1" applyAlignment="1">
      <alignment horizontal="center" vertical="center" wrapText="1"/>
    </xf>
    <xf numFmtId="3" fontId="24" fillId="22" borderId="35" xfId="0" applyNumberFormat="1" applyFont="1" applyFill="1" applyBorder="1" applyAlignment="1" applyProtection="1">
      <alignment horizontal="center" wrapText="1" shrinkToFit="1"/>
      <protection locked="0"/>
    </xf>
    <xf numFmtId="3" fontId="24" fillId="22" borderId="29" xfId="0" applyNumberFormat="1" applyFont="1" applyFill="1" applyBorder="1" applyAlignment="1" applyProtection="1">
      <alignment horizontal="center" wrapText="1" shrinkToFit="1"/>
      <protection locked="0"/>
    </xf>
    <xf numFmtId="3" fontId="24" fillId="22" borderId="28" xfId="0" applyNumberFormat="1" applyFont="1" applyFill="1" applyBorder="1" applyAlignment="1" applyProtection="1">
      <alignment horizontal="center"/>
      <protection locked="0"/>
    </xf>
    <xf numFmtId="0" fontId="7" fillId="2" borderId="14" xfId="0" applyFont="1" applyFill="1" applyBorder="1" applyAlignment="1">
      <alignment horizontal="center"/>
    </xf>
    <xf numFmtId="0" fontId="7" fillId="2" borderId="14" xfId="0" applyFont="1" applyFill="1" applyBorder="1" applyAlignment="1">
      <alignment/>
    </xf>
    <xf numFmtId="1" fontId="2" fillId="0" borderId="6" xfId="0" applyNumberFormat="1" applyFont="1" applyBorder="1" applyAlignment="1">
      <alignment horizontal="center"/>
    </xf>
    <xf numFmtId="1" fontId="3" fillId="0" borderId="6" xfId="0" applyNumberFormat="1" applyFont="1" applyBorder="1" applyAlignment="1">
      <alignment horizontal="center"/>
    </xf>
    <xf numFmtId="0" fontId="2" fillId="16" borderId="6" xfId="0" applyFont="1" applyFill="1" applyBorder="1" applyAlignment="1">
      <alignment/>
    </xf>
    <xf numFmtId="1" fontId="3" fillId="16" borderId="6" xfId="0" applyNumberFormat="1" applyFont="1" applyFill="1" applyBorder="1" applyAlignment="1">
      <alignment horizontal="center"/>
    </xf>
    <xf numFmtId="1" fontId="17" fillId="17" borderId="14" xfId="0" applyNumberFormat="1" applyFont="1" applyFill="1" applyBorder="1" applyAlignment="1" applyProtection="1">
      <alignment horizontal="center"/>
      <protection hidden="1"/>
    </xf>
    <xf numFmtId="3" fontId="10" fillId="0" borderId="0" xfId="0" applyNumberFormat="1" applyFont="1" applyFill="1" applyBorder="1" applyAlignment="1" applyProtection="1">
      <alignment horizontal="center"/>
      <protection/>
    </xf>
    <xf numFmtId="1" fontId="4" fillId="0" borderId="0" xfId="0" applyNumberFormat="1" applyFont="1" applyFill="1" applyBorder="1" applyAlignment="1" applyProtection="1">
      <alignment horizontal="center"/>
      <protection/>
    </xf>
    <xf numFmtId="1" fontId="1" fillId="0" borderId="0" xfId="0" applyNumberFormat="1" applyFont="1" applyFill="1" applyBorder="1" applyAlignment="1" applyProtection="1">
      <alignment horizontal="center"/>
      <protection/>
    </xf>
    <xf numFmtId="3" fontId="0" fillId="0" borderId="0" xfId="0" applyNumberFormat="1" applyAlignment="1">
      <alignment/>
    </xf>
    <xf numFmtId="1" fontId="0" fillId="0" borderId="0" xfId="0" applyNumberFormat="1" applyBorder="1" applyAlignment="1">
      <alignment/>
    </xf>
    <xf numFmtId="0" fontId="0" fillId="0" borderId="0" xfId="0" applyBorder="1" applyAlignment="1">
      <alignment/>
    </xf>
    <xf numFmtId="1" fontId="2" fillId="0" borderId="0" xfId="0" applyNumberFormat="1" applyFont="1" applyBorder="1" applyAlignment="1">
      <alignment horizontal="center"/>
    </xf>
    <xf numFmtId="1" fontId="1" fillId="0" borderId="6" xfId="0" applyNumberFormat="1" applyFont="1" applyBorder="1" applyAlignment="1" applyProtection="1">
      <alignment horizontal="center"/>
      <protection/>
    </xf>
    <xf numFmtId="9" fontId="1" fillId="0" borderId="0" xfId="0" applyNumberFormat="1" applyFont="1" applyFill="1" applyBorder="1" applyAlignment="1">
      <alignment horizontal="center"/>
    </xf>
    <xf numFmtId="3" fontId="1" fillId="0" borderId="0" xfId="0" applyNumberFormat="1" applyFont="1" applyFill="1" applyBorder="1" applyAlignment="1" applyProtection="1">
      <alignment/>
      <protection hidden="1"/>
    </xf>
    <xf numFmtId="3" fontId="1" fillId="3" borderId="26" xfId="0" applyNumberFormat="1" applyFont="1" applyFill="1" applyBorder="1" applyAlignment="1" applyProtection="1">
      <alignment horizontal="right"/>
      <protection hidden="1"/>
    </xf>
    <xf numFmtId="0" fontId="2" fillId="6" borderId="6" xfId="0" applyFont="1" applyFill="1" applyBorder="1" applyAlignment="1">
      <alignment horizontal="center"/>
    </xf>
    <xf numFmtId="1" fontId="4" fillId="23" borderId="28" xfId="0" applyNumberFormat="1" applyFont="1" applyFill="1" applyBorder="1" applyAlignment="1" applyProtection="1">
      <alignment horizontal="center" vertical="center"/>
      <protection locked="0"/>
    </xf>
    <xf numFmtId="1" fontId="8" fillId="12" borderId="36" xfId="0" applyNumberFormat="1" applyFont="1" applyFill="1" applyBorder="1" applyAlignment="1">
      <alignment horizontal="center" vertical="center" shrinkToFit="1"/>
    </xf>
    <xf numFmtId="3" fontId="9" fillId="24" borderId="28" xfId="0" applyNumberFormat="1" applyFont="1" applyFill="1" applyBorder="1" applyAlignment="1" applyProtection="1">
      <alignment horizontal="center"/>
      <protection locked="0"/>
    </xf>
    <xf numFmtId="1" fontId="5" fillId="12" borderId="20" xfId="0" applyNumberFormat="1" applyFont="1" applyFill="1" applyBorder="1" applyAlignment="1">
      <alignment horizontal="center"/>
    </xf>
    <xf numFmtId="0" fontId="18" fillId="12" borderId="36" xfId="0" applyFont="1" applyFill="1" applyBorder="1" applyAlignment="1">
      <alignment horizontal="center" vertical="center" wrapText="1" shrinkToFit="1"/>
    </xf>
    <xf numFmtId="0" fontId="5" fillId="12" borderId="20" xfId="0" applyFont="1" applyFill="1" applyBorder="1" applyAlignment="1">
      <alignment horizontal="center"/>
    </xf>
    <xf numFmtId="0" fontId="1" fillId="0" borderId="18" xfId="0" applyFont="1" applyBorder="1" applyAlignment="1">
      <alignment horizontal="center"/>
    </xf>
    <xf numFmtId="0" fontId="1" fillId="0" borderId="14" xfId="0" applyFont="1" applyBorder="1" applyAlignment="1">
      <alignment horizontal="center"/>
    </xf>
    <xf numFmtId="3" fontId="4" fillId="13" borderId="30" xfId="0" applyNumberFormat="1" applyFont="1" applyFill="1" applyBorder="1" applyAlignment="1" applyProtection="1">
      <alignment horizontal="center"/>
      <protection locked="0"/>
    </xf>
    <xf numFmtId="9" fontId="19" fillId="10" borderId="11" xfId="0" applyNumberFormat="1" applyFont="1" applyFill="1" applyBorder="1" applyAlignment="1" applyProtection="1">
      <alignment horizontal="center"/>
      <protection hidden="1"/>
    </xf>
    <xf numFmtId="1" fontId="20" fillId="10" borderId="9" xfId="0" applyNumberFormat="1" applyFont="1" applyFill="1" applyBorder="1" applyAlignment="1" applyProtection="1">
      <alignment/>
      <protection hidden="1"/>
    </xf>
    <xf numFmtId="1" fontId="17" fillId="12" borderId="28" xfId="0" applyNumberFormat="1" applyFont="1" applyFill="1" applyBorder="1" applyAlignment="1">
      <alignment horizontal="center" vertical="center"/>
    </xf>
    <xf numFmtId="0" fontId="1" fillId="0" borderId="0" xfId="0" applyFont="1" applyBorder="1" applyAlignment="1">
      <alignment horizontal="center"/>
    </xf>
    <xf numFmtId="0" fontId="2" fillId="0" borderId="0" xfId="0" applyFont="1" applyBorder="1" applyAlignment="1">
      <alignment horizontal="center"/>
    </xf>
    <xf numFmtId="0" fontId="0" fillId="0" borderId="32" xfId="0" applyBorder="1" applyAlignment="1">
      <alignment/>
    </xf>
    <xf numFmtId="0" fontId="1" fillId="17" borderId="22" xfId="0" applyFont="1" applyFill="1" applyBorder="1" applyAlignment="1">
      <alignment/>
    </xf>
    <xf numFmtId="9" fontId="1" fillId="17" borderId="23" xfId="0" applyNumberFormat="1" applyFont="1" applyFill="1" applyBorder="1" applyAlignment="1">
      <alignment/>
    </xf>
    <xf numFmtId="0" fontId="1" fillId="17" borderId="0" xfId="0" applyFont="1" applyFill="1" applyAlignment="1">
      <alignment/>
    </xf>
    <xf numFmtId="0" fontId="1" fillId="23" borderId="10" xfId="0" applyFont="1" applyFill="1" applyBorder="1" applyAlignment="1">
      <alignment/>
    </xf>
    <xf numFmtId="9" fontId="1" fillId="23" borderId="2" xfId="0" applyNumberFormat="1" applyFont="1" applyFill="1" applyBorder="1" applyAlignment="1">
      <alignment/>
    </xf>
    <xf numFmtId="0" fontId="1" fillId="23" borderId="0" xfId="0" applyFont="1" applyFill="1" applyAlignment="1">
      <alignment/>
    </xf>
    <xf numFmtId="0" fontId="1" fillId="25" borderId="10" xfId="0" applyFont="1" applyFill="1" applyBorder="1" applyAlignment="1">
      <alignment/>
    </xf>
    <xf numFmtId="9" fontId="1" fillId="25" borderId="2" xfId="0" applyNumberFormat="1" applyFont="1" applyFill="1" applyBorder="1" applyAlignment="1">
      <alignment/>
    </xf>
    <xf numFmtId="0" fontId="1" fillId="25" borderId="0" xfId="0" applyFont="1" applyFill="1" applyAlignment="1">
      <alignment/>
    </xf>
    <xf numFmtId="0" fontId="19" fillId="26" borderId="0" xfId="0" applyFont="1" applyFill="1" applyAlignment="1">
      <alignment/>
    </xf>
    <xf numFmtId="0" fontId="19" fillId="26" borderId="5" xfId="0" applyFont="1" applyFill="1" applyBorder="1" applyAlignment="1">
      <alignment/>
    </xf>
    <xf numFmtId="9" fontId="19" fillId="26" borderId="25" xfId="0" applyNumberFormat="1" applyFont="1" applyFill="1" applyBorder="1" applyAlignment="1">
      <alignment/>
    </xf>
    <xf numFmtId="0" fontId="19" fillId="27" borderId="10" xfId="0" applyFont="1" applyFill="1" applyBorder="1" applyAlignment="1">
      <alignment/>
    </xf>
    <xf numFmtId="9" fontId="19" fillId="27" borderId="2" xfId="0" applyNumberFormat="1" applyFont="1" applyFill="1" applyBorder="1" applyAlignment="1">
      <alignment/>
    </xf>
    <xf numFmtId="0" fontId="1" fillId="13" borderId="10" xfId="0" applyFont="1" applyFill="1" applyBorder="1" applyAlignment="1">
      <alignment/>
    </xf>
    <xf numFmtId="9" fontId="1" fillId="13" borderId="2" xfId="0" applyNumberFormat="1" applyFont="1" applyFill="1" applyBorder="1" applyAlignment="1">
      <alignment/>
    </xf>
    <xf numFmtId="0" fontId="1" fillId="13" borderId="0" xfId="0" applyFont="1" applyFill="1" applyAlignment="1">
      <alignment/>
    </xf>
    <xf numFmtId="0" fontId="1" fillId="4" borderId="22" xfId="0" applyFont="1" applyFill="1" applyBorder="1" applyAlignment="1">
      <alignment/>
    </xf>
    <xf numFmtId="9" fontId="1" fillId="4" borderId="23" xfId="0" applyNumberFormat="1" applyFont="1" applyFill="1" applyBorder="1" applyAlignment="1">
      <alignment/>
    </xf>
    <xf numFmtId="0" fontId="0" fillId="4" borderId="0" xfId="0" applyFill="1" applyAlignment="1">
      <alignment/>
    </xf>
    <xf numFmtId="0" fontId="0" fillId="3" borderId="0" xfId="0" applyFill="1" applyAlignment="1">
      <alignment/>
    </xf>
    <xf numFmtId="0" fontId="0" fillId="8" borderId="0" xfId="0" applyFill="1" applyAlignment="1">
      <alignment/>
    </xf>
    <xf numFmtId="0" fontId="0" fillId="9" borderId="0" xfId="0" applyFill="1" applyAlignment="1">
      <alignment/>
    </xf>
    <xf numFmtId="0" fontId="19" fillId="10" borderId="5" xfId="0" applyFont="1" applyFill="1" applyBorder="1" applyAlignment="1">
      <alignment/>
    </xf>
    <xf numFmtId="0" fontId="0" fillId="0" borderId="0" xfId="0" applyFill="1" applyAlignment="1">
      <alignment/>
    </xf>
    <xf numFmtId="0" fontId="3" fillId="0" borderId="6" xfId="0" applyFont="1" applyBorder="1" applyAlignment="1">
      <alignment horizontal="center"/>
    </xf>
    <xf numFmtId="0" fontId="6" fillId="4" borderId="6" xfId="0" applyFont="1" applyFill="1" applyBorder="1" applyAlignment="1">
      <alignment horizontal="center"/>
    </xf>
    <xf numFmtId="3" fontId="3" fillId="8" borderId="6" xfId="0" applyNumberFormat="1" applyFont="1" applyFill="1" applyBorder="1" applyAlignment="1" applyProtection="1">
      <alignment horizontal="center"/>
      <protection locked="0"/>
    </xf>
    <xf numFmtId="3" fontId="1" fillId="17" borderId="23" xfId="0" applyNumberFormat="1" applyFont="1" applyFill="1" applyBorder="1" applyAlignment="1" applyProtection="1">
      <alignment/>
      <protection hidden="1"/>
    </xf>
    <xf numFmtId="3" fontId="1" fillId="23" borderId="2" xfId="0" applyNumberFormat="1" applyFont="1" applyFill="1" applyBorder="1" applyAlignment="1" applyProtection="1">
      <alignment/>
      <protection hidden="1"/>
    </xf>
    <xf numFmtId="3" fontId="1" fillId="13" borderId="2" xfId="0" applyNumberFormat="1" applyFont="1" applyFill="1" applyBorder="1" applyAlignment="1" applyProtection="1">
      <alignment/>
      <protection hidden="1"/>
    </xf>
    <xf numFmtId="3" fontId="1" fillId="25" borderId="2" xfId="0" applyNumberFormat="1" applyFont="1" applyFill="1" applyBorder="1" applyAlignment="1" applyProtection="1">
      <alignment/>
      <protection hidden="1"/>
    </xf>
    <xf numFmtId="3" fontId="19" fillId="27" borderId="2" xfId="0" applyNumberFormat="1" applyFont="1" applyFill="1" applyBorder="1" applyAlignment="1" applyProtection="1">
      <alignment/>
      <protection hidden="1"/>
    </xf>
    <xf numFmtId="3" fontId="19" fillId="26" borderId="25" xfId="0" applyNumberFormat="1" applyFont="1" applyFill="1" applyBorder="1" applyAlignment="1" applyProtection="1">
      <alignment/>
      <protection hidden="1"/>
    </xf>
    <xf numFmtId="3" fontId="1" fillId="17" borderId="24" xfId="0" applyNumberFormat="1" applyFont="1" applyFill="1" applyBorder="1" applyAlignment="1" applyProtection="1">
      <alignment/>
      <protection hidden="1"/>
    </xf>
    <xf numFmtId="3" fontId="1" fillId="23" borderId="8" xfId="0" applyNumberFormat="1" applyFont="1" applyFill="1" applyBorder="1" applyAlignment="1" applyProtection="1">
      <alignment/>
      <protection hidden="1"/>
    </xf>
    <xf numFmtId="3" fontId="1" fillId="13" borderId="8" xfId="0" applyNumberFormat="1" applyFont="1" applyFill="1" applyBorder="1" applyAlignment="1" applyProtection="1">
      <alignment/>
      <protection hidden="1"/>
    </xf>
    <xf numFmtId="3" fontId="1" fillId="25" borderId="8" xfId="0" applyNumberFormat="1" applyFont="1" applyFill="1" applyBorder="1" applyAlignment="1" applyProtection="1">
      <alignment/>
      <protection hidden="1"/>
    </xf>
    <xf numFmtId="3" fontId="19" fillId="27" borderId="8" xfId="0" applyNumberFormat="1" applyFont="1" applyFill="1" applyBorder="1" applyAlignment="1" applyProtection="1">
      <alignment/>
      <protection hidden="1"/>
    </xf>
    <xf numFmtId="3" fontId="19" fillId="26" borderId="26" xfId="0" applyNumberFormat="1" applyFont="1" applyFill="1" applyBorder="1" applyAlignment="1" applyProtection="1">
      <alignment/>
      <protection hidden="1"/>
    </xf>
    <xf numFmtId="3" fontId="1" fillId="4" borderId="23" xfId="0" applyNumberFormat="1" applyFont="1" applyFill="1" applyBorder="1" applyAlignment="1" applyProtection="1">
      <alignment/>
      <protection hidden="1"/>
    </xf>
    <xf numFmtId="3" fontId="1" fillId="3" borderId="2" xfId="0" applyNumberFormat="1" applyFont="1" applyFill="1" applyBorder="1" applyAlignment="1" applyProtection="1">
      <alignment/>
      <protection hidden="1"/>
    </xf>
    <xf numFmtId="3" fontId="1" fillId="8" borderId="2" xfId="0" applyNumberFormat="1" applyFont="1" applyFill="1" applyBorder="1" applyAlignment="1" applyProtection="1">
      <alignment/>
      <protection hidden="1"/>
    </xf>
    <xf numFmtId="3" fontId="1" fillId="9" borderId="2" xfId="0" applyNumberFormat="1" applyFont="1" applyFill="1" applyBorder="1" applyAlignment="1" applyProtection="1">
      <alignment/>
      <protection hidden="1"/>
    </xf>
    <xf numFmtId="3" fontId="1" fillId="4" borderId="24" xfId="0" applyNumberFormat="1" applyFont="1" applyFill="1" applyBorder="1" applyAlignment="1" applyProtection="1">
      <alignment/>
      <protection hidden="1"/>
    </xf>
    <xf numFmtId="3" fontId="1" fillId="3" borderId="8" xfId="0" applyNumberFormat="1" applyFont="1" applyFill="1" applyBorder="1" applyAlignment="1" applyProtection="1">
      <alignment/>
      <protection hidden="1"/>
    </xf>
    <xf numFmtId="3" fontId="1" fillId="8" borderId="8" xfId="0" applyNumberFormat="1" applyFont="1" applyFill="1" applyBorder="1" applyAlignment="1" applyProtection="1">
      <alignment/>
      <protection hidden="1"/>
    </xf>
    <xf numFmtId="3" fontId="1" fillId="9" borderId="8" xfId="0" applyNumberFormat="1" applyFont="1" applyFill="1" applyBorder="1" applyAlignment="1" applyProtection="1">
      <alignment/>
      <protection hidden="1"/>
    </xf>
    <xf numFmtId="3" fontId="19" fillId="10" borderId="9" xfId="0" applyNumberFormat="1" applyFont="1" applyFill="1" applyBorder="1" applyAlignment="1" applyProtection="1">
      <alignment/>
      <protection hidden="1"/>
    </xf>
    <xf numFmtId="0" fontId="1" fillId="17" borderId="17" xfId="0" applyFont="1" applyFill="1" applyBorder="1" applyAlignment="1" applyProtection="1">
      <alignment/>
      <protection hidden="1"/>
    </xf>
    <xf numFmtId="0" fontId="1" fillId="23" borderId="27" xfId="0" applyFont="1" applyFill="1" applyBorder="1" applyAlignment="1" applyProtection="1">
      <alignment/>
      <protection hidden="1"/>
    </xf>
    <xf numFmtId="0" fontId="1" fillId="13" borderId="27" xfId="0" applyFont="1" applyFill="1" applyBorder="1" applyAlignment="1" applyProtection="1">
      <alignment/>
      <protection hidden="1"/>
    </xf>
    <xf numFmtId="0" fontId="1" fillId="25" borderId="27" xfId="0" applyFont="1" applyFill="1" applyBorder="1" applyAlignment="1" applyProtection="1">
      <alignment/>
      <protection hidden="1"/>
    </xf>
    <xf numFmtId="0" fontId="19" fillId="26" borderId="19" xfId="0" applyFont="1" applyFill="1" applyBorder="1" applyAlignment="1" applyProtection="1">
      <alignment/>
      <protection hidden="1"/>
    </xf>
    <xf numFmtId="0" fontId="1" fillId="4" borderId="17" xfId="0" applyFont="1" applyFill="1" applyBorder="1" applyAlignment="1" applyProtection="1">
      <alignment/>
      <protection hidden="1"/>
    </xf>
    <xf numFmtId="0" fontId="1" fillId="3" borderId="27" xfId="0" applyFont="1" applyFill="1" applyBorder="1" applyAlignment="1" applyProtection="1">
      <alignment/>
      <protection hidden="1"/>
    </xf>
    <xf numFmtId="0" fontId="1" fillId="8" borderId="27" xfId="0" applyFont="1" applyFill="1" applyBorder="1" applyAlignment="1" applyProtection="1">
      <alignment/>
      <protection hidden="1"/>
    </xf>
    <xf numFmtId="0" fontId="1" fillId="9" borderId="19" xfId="0" applyFont="1" applyFill="1" applyBorder="1" applyAlignment="1" applyProtection="1">
      <alignment/>
      <protection hidden="1"/>
    </xf>
    <xf numFmtId="3" fontId="1" fillId="17" borderId="37" xfId="0" applyNumberFormat="1" applyFont="1" applyFill="1" applyBorder="1" applyAlignment="1" applyProtection="1">
      <alignment/>
      <protection hidden="1"/>
    </xf>
    <xf numFmtId="3" fontId="1" fillId="17" borderId="38" xfId="0" applyNumberFormat="1" applyFont="1" applyFill="1" applyBorder="1" applyAlignment="1" applyProtection="1">
      <alignment/>
      <protection hidden="1"/>
    </xf>
    <xf numFmtId="0" fontId="0" fillId="0" borderId="0" xfId="0" applyBorder="1" applyAlignment="1" applyProtection="1">
      <alignment/>
      <protection hidden="1"/>
    </xf>
    <xf numFmtId="0" fontId="1" fillId="4" borderId="6" xfId="0" applyFont="1" applyFill="1" applyBorder="1" applyAlignment="1" applyProtection="1">
      <alignment horizontal="center"/>
      <protection hidden="1"/>
    </xf>
    <xf numFmtId="0" fontId="1" fillId="17" borderId="6" xfId="0" applyFont="1" applyFill="1" applyBorder="1" applyAlignment="1" applyProtection="1">
      <alignment horizontal="center"/>
      <protection hidden="1"/>
    </xf>
    <xf numFmtId="0" fontId="1" fillId="18" borderId="6" xfId="0" applyFont="1" applyFill="1" applyBorder="1" applyAlignment="1" applyProtection="1">
      <alignment horizontal="center"/>
      <protection hidden="1"/>
    </xf>
    <xf numFmtId="3" fontId="2" fillId="4" borderId="6" xfId="0" applyNumberFormat="1" applyFont="1" applyFill="1" applyBorder="1" applyAlignment="1" applyProtection="1">
      <alignment horizontal="center"/>
      <protection hidden="1"/>
    </xf>
    <xf numFmtId="3" fontId="2" fillId="17" borderId="6" xfId="0" applyNumberFormat="1" applyFont="1" applyFill="1" applyBorder="1" applyAlignment="1" applyProtection="1">
      <alignment horizontal="center"/>
      <protection hidden="1"/>
    </xf>
    <xf numFmtId="3" fontId="0" fillId="0" borderId="0" xfId="0" applyNumberFormat="1" applyAlignment="1" applyProtection="1">
      <alignment/>
      <protection hidden="1"/>
    </xf>
    <xf numFmtId="3" fontId="1" fillId="4" borderId="14" xfId="0" applyNumberFormat="1" applyFont="1" applyFill="1" applyBorder="1" applyAlignment="1" applyProtection="1">
      <alignment horizontal="center"/>
      <protection hidden="1"/>
    </xf>
    <xf numFmtId="3" fontId="1" fillId="28" borderId="6" xfId="0" applyNumberFormat="1" applyFont="1" applyFill="1" applyBorder="1" applyAlignment="1" applyProtection="1">
      <alignment horizontal="center"/>
      <protection hidden="1"/>
    </xf>
    <xf numFmtId="0" fontId="2" fillId="0" borderId="0" xfId="0" applyFont="1" applyFill="1" applyBorder="1" applyAlignment="1">
      <alignment horizontal="center" vertical="center"/>
    </xf>
    <xf numFmtId="3" fontId="3" fillId="0" borderId="0" xfId="0" applyNumberFormat="1" applyFont="1" applyFill="1" applyBorder="1" applyAlignment="1" applyProtection="1">
      <alignment horizontal="center"/>
      <protection locked="0"/>
    </xf>
    <xf numFmtId="0" fontId="6" fillId="0" borderId="0" xfId="0" applyFont="1" applyFill="1" applyBorder="1" applyAlignment="1">
      <alignment horizontal="center"/>
    </xf>
    <xf numFmtId="3" fontId="6" fillId="0" borderId="0" xfId="0" applyNumberFormat="1" applyFont="1" applyFill="1" applyBorder="1" applyAlignment="1" applyProtection="1">
      <alignment horizontal="center"/>
      <protection locked="0"/>
    </xf>
    <xf numFmtId="3" fontId="19" fillId="10" borderId="11" xfId="0" applyNumberFormat="1" applyFont="1" applyFill="1" applyBorder="1" applyAlignment="1" applyProtection="1">
      <alignment/>
      <protection hidden="1"/>
    </xf>
    <xf numFmtId="0" fontId="7" fillId="13" borderId="39" xfId="0" applyFont="1" applyFill="1" applyBorder="1" applyAlignment="1">
      <alignment horizontal="center" vertical="center"/>
    </xf>
    <xf numFmtId="3" fontId="4" fillId="13" borderId="40" xfId="0" applyNumberFormat="1" applyFont="1" applyFill="1" applyBorder="1" applyAlignment="1" applyProtection="1">
      <alignment horizontal="center"/>
      <protection locked="0"/>
    </xf>
    <xf numFmtId="1" fontId="1" fillId="2" borderId="27" xfId="0" applyNumberFormat="1" applyFont="1" applyFill="1" applyBorder="1" applyAlignment="1">
      <alignment horizontal="center"/>
    </xf>
    <xf numFmtId="1" fontId="3" fillId="2" borderId="19" xfId="0" applyNumberFormat="1" applyFont="1" applyFill="1" applyBorder="1" applyAlignment="1">
      <alignment horizontal="center"/>
    </xf>
    <xf numFmtId="1" fontId="1" fillId="21" borderId="17" xfId="0" applyNumberFormat="1" applyFont="1" applyFill="1" applyBorder="1" applyAlignment="1">
      <alignment horizontal="center"/>
    </xf>
    <xf numFmtId="1" fontId="1" fillId="21" borderId="27" xfId="0" applyNumberFormat="1" applyFont="1" applyFill="1" applyBorder="1" applyAlignment="1">
      <alignment horizontal="center"/>
    </xf>
    <xf numFmtId="1" fontId="1" fillId="21" borderId="41" xfId="0" applyNumberFormat="1" applyFont="1" applyFill="1" applyBorder="1" applyAlignment="1">
      <alignment horizontal="center"/>
    </xf>
    <xf numFmtId="1" fontId="3" fillId="21" borderId="6" xfId="0" applyNumberFormat="1" applyFont="1" applyFill="1" applyBorder="1" applyAlignment="1">
      <alignment horizontal="center"/>
    </xf>
    <xf numFmtId="1" fontId="2" fillId="20" borderId="6" xfId="0" applyNumberFormat="1" applyFont="1" applyFill="1" applyBorder="1" applyAlignment="1">
      <alignment horizontal="center"/>
    </xf>
    <xf numFmtId="3" fontId="3" fillId="8" borderId="6" xfId="0" applyNumberFormat="1" applyFont="1" applyFill="1" applyBorder="1" applyAlignment="1" applyProtection="1">
      <alignment horizontal="center"/>
      <protection hidden="1"/>
    </xf>
    <xf numFmtId="3" fontId="3" fillId="18" borderId="6" xfId="0" applyNumberFormat="1" applyFont="1" applyFill="1" applyBorder="1" applyAlignment="1" applyProtection="1">
      <alignment horizontal="center"/>
      <protection hidden="1"/>
    </xf>
    <xf numFmtId="3" fontId="24" fillId="29" borderId="28" xfId="0" applyNumberFormat="1" applyFont="1" applyFill="1" applyBorder="1" applyAlignment="1" applyProtection="1">
      <alignment horizontal="center" vertical="center"/>
      <protection locked="0"/>
    </xf>
    <xf numFmtId="3" fontId="21" fillId="29" borderId="42" xfId="0" applyNumberFormat="1" applyFont="1" applyFill="1" applyBorder="1" applyAlignment="1" applyProtection="1">
      <alignment horizontal="center"/>
      <protection hidden="1"/>
    </xf>
    <xf numFmtId="3" fontId="4" fillId="4" borderId="28" xfId="0" applyNumberFormat="1" applyFont="1" applyFill="1" applyBorder="1" applyAlignment="1" applyProtection="1">
      <alignment horizontal="center" vertical="center"/>
      <protection locked="0"/>
    </xf>
    <xf numFmtId="3" fontId="4" fillId="28" borderId="35" xfId="0"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wrapText="1" shrinkToFit="1"/>
    </xf>
    <xf numFmtId="3" fontId="10" fillId="0" borderId="0" xfId="0" applyNumberFormat="1" applyFont="1" applyFill="1" applyBorder="1" applyAlignment="1" applyProtection="1">
      <alignment horizontal="center"/>
      <protection locked="0"/>
    </xf>
    <xf numFmtId="1" fontId="19" fillId="11" borderId="11" xfId="0" applyNumberFormat="1" applyFont="1" applyFill="1" applyBorder="1" applyAlignment="1" applyProtection="1">
      <alignment/>
      <protection hidden="1"/>
    </xf>
    <xf numFmtId="9" fontId="19" fillId="11" borderId="11" xfId="0" applyNumberFormat="1" applyFont="1" applyFill="1" applyBorder="1" applyAlignment="1">
      <alignment/>
    </xf>
    <xf numFmtId="1" fontId="24" fillId="21" borderId="43" xfId="0" applyNumberFormat="1" applyFont="1" applyFill="1" applyBorder="1" applyAlignment="1" applyProtection="1">
      <alignment horizontal="center"/>
      <protection hidden="1"/>
    </xf>
    <xf numFmtId="1" fontId="12" fillId="0" borderId="0" xfId="0" applyNumberFormat="1" applyFont="1" applyFill="1" applyBorder="1" applyAlignment="1" applyProtection="1">
      <alignment horizontal="center"/>
      <protection hidden="1"/>
    </xf>
    <xf numFmtId="0" fontId="26" fillId="0" borderId="0" xfId="0" applyFont="1" applyFill="1" applyBorder="1" applyAlignment="1">
      <alignment horizontal="center"/>
    </xf>
    <xf numFmtId="1" fontId="24" fillId="0" borderId="0" xfId="0" applyNumberFormat="1" applyFont="1" applyFill="1" applyBorder="1" applyAlignment="1" applyProtection="1">
      <alignment horizontal="center"/>
      <protection hidden="1"/>
    </xf>
    <xf numFmtId="0" fontId="0" fillId="0" borderId="0" xfId="0" applyAlignment="1" applyProtection="1">
      <alignment/>
      <protection locked="0"/>
    </xf>
    <xf numFmtId="0" fontId="26" fillId="0" borderId="0" xfId="0" applyFont="1" applyFill="1" applyBorder="1" applyAlignment="1" applyProtection="1">
      <alignment horizontal="center"/>
      <protection locked="0"/>
    </xf>
    <xf numFmtId="1" fontId="24" fillId="0" borderId="0" xfId="0" applyNumberFormat="1" applyFont="1" applyFill="1" applyBorder="1" applyAlignment="1" applyProtection="1">
      <alignment horizontal="center"/>
      <protection locked="0"/>
    </xf>
    <xf numFmtId="1" fontId="12" fillId="0" borderId="0" xfId="0" applyNumberFormat="1" applyFont="1" applyFill="1" applyBorder="1" applyAlignment="1" applyProtection="1">
      <alignment horizontal="center"/>
      <protection locked="0"/>
    </xf>
    <xf numFmtId="0" fontId="30" fillId="17" borderId="44" xfId="0" applyFont="1" applyFill="1" applyBorder="1" applyAlignment="1">
      <alignment horizontal="center"/>
    </xf>
    <xf numFmtId="3" fontId="22" fillId="6" borderId="32" xfId="0" applyNumberFormat="1" applyFont="1" applyFill="1" applyBorder="1" applyAlignment="1" applyProtection="1">
      <alignment horizontal="center"/>
      <protection hidden="1"/>
    </xf>
    <xf numFmtId="1" fontId="2" fillId="2" borderId="6" xfId="0" applyNumberFormat="1" applyFont="1" applyFill="1" applyBorder="1" applyAlignment="1">
      <alignment horizontal="center"/>
    </xf>
    <xf numFmtId="3" fontId="3" fillId="2" borderId="6" xfId="0" applyNumberFormat="1" applyFont="1" applyFill="1" applyBorder="1" applyAlignment="1">
      <alignment horizontal="center"/>
    </xf>
    <xf numFmtId="3" fontId="0" fillId="0" borderId="6" xfId="0" applyNumberFormat="1" applyBorder="1" applyAlignment="1">
      <alignment horizontal="center"/>
    </xf>
    <xf numFmtId="3" fontId="1" fillId="0" borderId="6" xfId="0" applyNumberFormat="1" applyFont="1" applyBorder="1" applyAlignment="1">
      <alignment horizontal="center"/>
    </xf>
    <xf numFmtId="0" fontId="0" fillId="0" borderId="0" xfId="0" applyFont="1" applyAlignment="1">
      <alignment/>
    </xf>
    <xf numFmtId="1" fontId="1" fillId="0" borderId="0" xfId="0" applyNumberFormat="1" applyFont="1" applyFill="1" applyBorder="1" applyAlignment="1" applyProtection="1">
      <alignment horizontal="center"/>
      <protection hidden="1"/>
    </xf>
    <xf numFmtId="0" fontId="0" fillId="0" borderId="0" xfId="0" applyFont="1" applyBorder="1" applyAlignment="1">
      <alignment/>
    </xf>
    <xf numFmtId="0" fontId="1" fillId="0" borderId="17" xfId="0" applyFont="1" applyBorder="1" applyAlignment="1">
      <alignment/>
    </xf>
    <xf numFmtId="1" fontId="1" fillId="0" borderId="27" xfId="0" applyNumberFormat="1" applyFont="1" applyBorder="1" applyAlignment="1">
      <alignment/>
    </xf>
    <xf numFmtId="0" fontId="1" fillId="0" borderId="19" xfId="0" applyFont="1" applyBorder="1" applyAlignment="1">
      <alignment/>
    </xf>
    <xf numFmtId="0" fontId="2" fillId="12" borderId="45" xfId="0" applyFont="1" applyFill="1" applyBorder="1" applyAlignment="1">
      <alignment horizontal="center" vertical="center"/>
    </xf>
    <xf numFmtId="4" fontId="4" fillId="17" borderId="6" xfId="0" applyNumberFormat="1" applyFont="1" applyFill="1" applyBorder="1" applyAlignment="1">
      <alignment horizontal="center"/>
    </xf>
    <xf numFmtId="0" fontId="2" fillId="12" borderId="31" xfId="0" applyFont="1" applyFill="1" applyBorder="1" applyAlignment="1">
      <alignment horizontal="center" vertical="center"/>
    </xf>
    <xf numFmtId="0" fontId="1" fillId="0" borderId="0" xfId="0" applyFont="1" applyFill="1" applyBorder="1" applyAlignment="1" applyProtection="1">
      <alignment horizontal="center"/>
      <protection hidden="1"/>
    </xf>
    <xf numFmtId="0" fontId="0" fillId="0" borderId="0" xfId="0" applyFill="1" applyBorder="1" applyAlignment="1" applyProtection="1">
      <alignment/>
      <protection hidden="1"/>
    </xf>
    <xf numFmtId="3" fontId="1" fillId="0" borderId="0" xfId="0" applyNumberFormat="1" applyFont="1" applyFill="1" applyBorder="1" applyAlignment="1" applyProtection="1">
      <alignment horizontal="center"/>
      <protection hidden="1"/>
    </xf>
    <xf numFmtId="0" fontId="1" fillId="2" borderId="46" xfId="0" applyFont="1" applyFill="1" applyBorder="1" applyAlignment="1">
      <alignment/>
    </xf>
    <xf numFmtId="0" fontId="1" fillId="2" borderId="47" xfId="0" applyFont="1" applyFill="1" applyBorder="1" applyAlignment="1">
      <alignment/>
    </xf>
    <xf numFmtId="0" fontId="1" fillId="2" borderId="48" xfId="0" applyFont="1" applyFill="1" applyBorder="1" applyAlignment="1">
      <alignment/>
    </xf>
    <xf numFmtId="3" fontId="1" fillId="0" borderId="49" xfId="0" applyNumberFormat="1" applyFont="1" applyBorder="1" applyAlignment="1" applyProtection="1">
      <alignment/>
      <protection hidden="1"/>
    </xf>
    <xf numFmtId="3" fontId="1" fillId="0" borderId="50" xfId="0" applyNumberFormat="1" applyFont="1" applyBorder="1" applyAlignment="1" applyProtection="1">
      <alignment/>
      <protection hidden="1"/>
    </xf>
    <xf numFmtId="3" fontId="1" fillId="0" borderId="51" xfId="0" applyNumberFormat="1" applyFont="1" applyBorder="1" applyAlignment="1" applyProtection="1">
      <alignment/>
      <protection hidden="1"/>
    </xf>
    <xf numFmtId="0" fontId="2" fillId="4" borderId="52" xfId="0" applyFont="1" applyFill="1" applyBorder="1" applyAlignment="1">
      <alignment horizontal="center"/>
    </xf>
    <xf numFmtId="0" fontId="2" fillId="17" borderId="53" xfId="0" applyFont="1" applyFill="1" applyBorder="1" applyAlignment="1">
      <alignment horizontal="center"/>
    </xf>
    <xf numFmtId="0" fontId="2" fillId="18" borderId="53" xfId="0" applyFont="1" applyFill="1" applyBorder="1" applyAlignment="1">
      <alignment horizontal="center"/>
    </xf>
    <xf numFmtId="3" fontId="1" fillId="4" borderId="3" xfId="0" applyNumberFormat="1" applyFont="1" applyFill="1" applyBorder="1" applyAlignment="1" applyProtection="1">
      <alignment/>
      <protection hidden="1"/>
    </xf>
    <xf numFmtId="3" fontId="1" fillId="17" borderId="54" xfId="0" applyNumberFormat="1" applyFont="1" applyFill="1" applyBorder="1" applyAlignment="1" applyProtection="1">
      <alignment/>
      <protection hidden="1"/>
    </xf>
    <xf numFmtId="3" fontId="1" fillId="18" borderId="7" xfId="0" applyNumberFormat="1" applyFont="1" applyFill="1" applyBorder="1" applyAlignment="1" applyProtection="1">
      <alignment/>
      <protection hidden="1"/>
    </xf>
    <xf numFmtId="3" fontId="1" fillId="4" borderId="10" xfId="0" applyNumberFormat="1" applyFont="1" applyFill="1" applyBorder="1" applyAlignment="1" applyProtection="1">
      <alignment/>
      <protection hidden="1"/>
    </xf>
    <xf numFmtId="3" fontId="1" fillId="18" borderId="8" xfId="0" applyNumberFormat="1" applyFont="1" applyFill="1" applyBorder="1" applyAlignment="1" applyProtection="1">
      <alignment/>
      <protection hidden="1"/>
    </xf>
    <xf numFmtId="3" fontId="1" fillId="18" borderId="26" xfId="0" applyNumberFormat="1" applyFont="1" applyFill="1" applyBorder="1" applyAlignment="1" applyProtection="1">
      <alignment/>
      <protection hidden="1"/>
    </xf>
    <xf numFmtId="3" fontId="1" fillId="4" borderId="5" xfId="0" applyNumberFormat="1" applyFont="1" applyFill="1" applyBorder="1" applyAlignment="1" applyProtection="1">
      <alignment/>
      <protection hidden="1"/>
    </xf>
    <xf numFmtId="3" fontId="2" fillId="0" borderId="0" xfId="0" applyNumberFormat="1" applyFont="1" applyFill="1" applyBorder="1" applyAlignment="1" applyProtection="1">
      <alignment horizontal="center"/>
      <protection hidden="1"/>
    </xf>
    <xf numFmtId="3" fontId="4" fillId="3" borderId="6" xfId="0" applyNumberFormat="1" applyFont="1" applyFill="1" applyBorder="1" applyAlignment="1" applyProtection="1">
      <alignment horizontal="center"/>
      <protection hidden="1"/>
    </xf>
    <xf numFmtId="3" fontId="4" fillId="18" borderId="6" xfId="0" applyNumberFormat="1" applyFont="1" applyFill="1" applyBorder="1" applyAlignment="1" applyProtection="1">
      <alignment horizontal="center"/>
      <protection hidden="1"/>
    </xf>
    <xf numFmtId="3" fontId="6" fillId="2" borderId="35" xfId="0" applyNumberFormat="1" applyFont="1" applyFill="1" applyBorder="1" applyAlignment="1" applyProtection="1">
      <alignment horizontal="center"/>
      <protection hidden="1"/>
    </xf>
    <xf numFmtId="3" fontId="3" fillId="2" borderId="6" xfId="0" applyNumberFormat="1" applyFont="1" applyFill="1" applyBorder="1" applyAlignment="1" applyProtection="1">
      <alignment horizontal="center"/>
      <protection hidden="1"/>
    </xf>
    <xf numFmtId="3" fontId="4" fillId="7" borderId="35" xfId="0" applyNumberFormat="1" applyFont="1" applyFill="1" applyBorder="1" applyAlignment="1" applyProtection="1">
      <alignment horizontal="center"/>
      <protection hidden="1"/>
    </xf>
    <xf numFmtId="3" fontId="33" fillId="24" borderId="30" xfId="0" applyNumberFormat="1" applyFont="1" applyFill="1" applyBorder="1" applyAlignment="1" applyProtection="1">
      <alignment horizontal="center"/>
      <protection hidden="1"/>
    </xf>
    <xf numFmtId="3" fontId="4" fillId="24" borderId="6" xfId="0" applyNumberFormat="1" applyFont="1" applyFill="1" applyBorder="1" applyAlignment="1" applyProtection="1">
      <alignment horizontal="center"/>
      <protection hidden="1"/>
    </xf>
    <xf numFmtId="0" fontId="1" fillId="0" borderId="0" xfId="0" applyFont="1" applyFill="1" applyBorder="1" applyAlignment="1">
      <alignment horizontal="center"/>
    </xf>
    <xf numFmtId="3" fontId="0" fillId="0" borderId="0" xfId="0" applyNumberFormat="1" applyFont="1" applyFill="1" applyAlignment="1" applyProtection="1">
      <alignment/>
      <protection hidden="1"/>
    </xf>
    <xf numFmtId="3" fontId="1" fillId="0" borderId="0" xfId="0" applyNumberFormat="1" applyFont="1" applyFill="1" applyBorder="1" applyAlignment="1" applyProtection="1">
      <alignment horizontal="center"/>
      <protection hidden="1"/>
    </xf>
    <xf numFmtId="0" fontId="0" fillId="0" borderId="0" xfId="0" applyFont="1" applyAlignment="1">
      <alignment/>
    </xf>
    <xf numFmtId="3" fontId="0" fillId="17" borderId="0" xfId="0" applyNumberFormat="1" applyFill="1" applyAlignment="1" applyProtection="1">
      <alignment/>
      <protection hidden="1"/>
    </xf>
    <xf numFmtId="3" fontId="4" fillId="17" borderId="6" xfId="0" applyNumberFormat="1" applyFont="1" applyFill="1" applyBorder="1" applyAlignment="1" applyProtection="1">
      <alignment horizontal="center"/>
      <protection hidden="1"/>
    </xf>
    <xf numFmtId="0" fontId="0" fillId="0" borderId="46" xfId="0" applyBorder="1" applyAlignment="1" applyProtection="1">
      <alignment/>
      <protection hidden="1"/>
    </xf>
    <xf numFmtId="1" fontId="0" fillId="0" borderId="47" xfId="0" applyNumberFormat="1" applyBorder="1" applyAlignment="1" applyProtection="1">
      <alignment/>
      <protection hidden="1"/>
    </xf>
    <xf numFmtId="0" fontId="0" fillId="0" borderId="0" xfId="0" applyFill="1" applyBorder="1" applyAlignment="1">
      <alignment/>
    </xf>
    <xf numFmtId="0" fontId="19" fillId="0" borderId="0" xfId="0" applyFont="1" applyFill="1" applyBorder="1" applyAlignment="1">
      <alignment/>
    </xf>
    <xf numFmtId="1" fontId="19" fillId="0" borderId="0" xfId="0" applyNumberFormat="1" applyFont="1" applyFill="1" applyBorder="1" applyAlignment="1" applyProtection="1">
      <alignment/>
      <protection hidden="1"/>
    </xf>
    <xf numFmtId="9" fontId="19" fillId="0" borderId="0" xfId="0" applyNumberFormat="1" applyFont="1" applyFill="1" applyBorder="1" applyAlignment="1">
      <alignment/>
    </xf>
    <xf numFmtId="1" fontId="21" fillId="0" borderId="0" xfId="0" applyNumberFormat="1" applyFont="1" applyFill="1" applyBorder="1" applyAlignment="1" applyProtection="1">
      <alignment/>
      <protection hidden="1"/>
    </xf>
    <xf numFmtId="0" fontId="19" fillId="0" borderId="0" xfId="0" applyFont="1" applyFill="1" applyBorder="1" applyAlignment="1" applyProtection="1">
      <alignment horizontal="center"/>
      <protection hidden="1"/>
    </xf>
    <xf numFmtId="0" fontId="3" fillId="17" borderId="16" xfId="0" applyFont="1" applyFill="1" applyBorder="1" applyAlignment="1">
      <alignment horizontal="center"/>
    </xf>
    <xf numFmtId="0" fontId="4" fillId="7" borderId="20" xfId="0" applyFont="1" applyFill="1" applyBorder="1" applyAlignment="1">
      <alignment horizontal="center"/>
    </xf>
    <xf numFmtId="0" fontId="4" fillId="7" borderId="16" xfId="0" applyFont="1" applyFill="1" applyBorder="1" applyAlignment="1">
      <alignment horizontal="center"/>
    </xf>
    <xf numFmtId="0" fontId="4" fillId="7" borderId="15" xfId="0" applyFont="1" applyFill="1" applyBorder="1" applyAlignment="1">
      <alignment horizontal="center"/>
    </xf>
    <xf numFmtId="0" fontId="3" fillId="2" borderId="44" xfId="0" applyFont="1" applyFill="1" applyBorder="1" applyAlignment="1">
      <alignment horizontal="center"/>
    </xf>
    <xf numFmtId="0" fontId="3" fillId="2" borderId="32" xfId="0" applyFont="1" applyFill="1" applyBorder="1" applyAlignment="1">
      <alignment horizontal="center"/>
    </xf>
    <xf numFmtId="0" fontId="3" fillId="2" borderId="30" xfId="0" applyFont="1" applyFill="1" applyBorder="1" applyAlignment="1">
      <alignment horizontal="center"/>
    </xf>
    <xf numFmtId="0" fontId="3" fillId="28" borderId="44" xfId="0" applyFont="1" applyFill="1" applyBorder="1" applyAlignment="1">
      <alignment horizontal="center"/>
    </xf>
    <xf numFmtId="0" fontId="3" fillId="28" borderId="32" xfId="0" applyFont="1" applyFill="1" applyBorder="1" applyAlignment="1">
      <alignment horizontal="center"/>
    </xf>
    <xf numFmtId="0" fontId="3" fillId="28" borderId="30" xfId="0" applyFont="1" applyFill="1" applyBorder="1" applyAlignment="1">
      <alignment horizontal="center"/>
    </xf>
    <xf numFmtId="0" fontId="1" fillId="4" borderId="20" xfId="0" applyFont="1" applyFill="1" applyBorder="1" applyAlignment="1">
      <alignment horizontal="center"/>
    </xf>
    <xf numFmtId="0" fontId="1" fillId="4" borderId="16" xfId="0" applyFont="1" applyFill="1" applyBorder="1" applyAlignment="1">
      <alignment horizontal="center"/>
    </xf>
    <xf numFmtId="0" fontId="1" fillId="4" borderId="15" xfId="0" applyFont="1" applyFill="1" applyBorder="1" applyAlignment="1">
      <alignment horizontal="center"/>
    </xf>
    <xf numFmtId="0" fontId="1" fillId="28" borderId="20" xfId="0" applyFont="1" applyFill="1" applyBorder="1" applyAlignment="1">
      <alignment horizontal="center"/>
    </xf>
    <xf numFmtId="0" fontId="1" fillId="28" borderId="16" xfId="0" applyFont="1" applyFill="1" applyBorder="1" applyAlignment="1">
      <alignment horizontal="center"/>
    </xf>
    <xf numFmtId="0" fontId="1" fillId="28" borderId="15" xfId="0" applyFont="1" applyFill="1" applyBorder="1" applyAlignment="1">
      <alignment horizontal="center"/>
    </xf>
    <xf numFmtId="0" fontId="2" fillId="12" borderId="44" xfId="0" applyFont="1" applyFill="1" applyBorder="1" applyAlignment="1">
      <alignment horizontal="center"/>
    </xf>
    <xf numFmtId="0" fontId="2" fillId="12" borderId="32" xfId="0" applyFont="1" applyFill="1" applyBorder="1" applyAlignment="1">
      <alignment horizontal="center"/>
    </xf>
    <xf numFmtId="0" fontId="2" fillId="12" borderId="30" xfId="0" applyFont="1" applyFill="1" applyBorder="1" applyAlignment="1">
      <alignment horizontal="center"/>
    </xf>
    <xf numFmtId="0" fontId="3" fillId="24" borderId="20" xfId="0" applyFont="1" applyFill="1" applyBorder="1" applyAlignment="1">
      <alignment horizontal="center"/>
    </xf>
    <xf numFmtId="0" fontId="3" fillId="24" borderId="15" xfId="0" applyFont="1" applyFill="1" applyBorder="1" applyAlignment="1">
      <alignment horizontal="center"/>
    </xf>
    <xf numFmtId="0" fontId="3" fillId="7" borderId="44" xfId="0" applyFont="1" applyFill="1" applyBorder="1" applyAlignment="1">
      <alignment horizontal="center"/>
    </xf>
    <xf numFmtId="0" fontId="3" fillId="7" borderId="55" xfId="0" applyFont="1" applyFill="1" applyBorder="1" applyAlignment="1">
      <alignment horizontal="center"/>
    </xf>
    <xf numFmtId="0" fontId="3" fillId="7" borderId="29" xfId="0" applyFont="1" applyFill="1" applyBorder="1" applyAlignment="1">
      <alignment horizontal="center"/>
    </xf>
    <xf numFmtId="0" fontId="2" fillId="2" borderId="20" xfId="0" applyFont="1" applyFill="1" applyBorder="1" applyAlignment="1">
      <alignment horizontal="center"/>
    </xf>
    <xf numFmtId="0" fontId="2" fillId="2" borderId="16" xfId="0" applyFont="1" applyFill="1" applyBorder="1" applyAlignment="1">
      <alignment horizontal="center"/>
    </xf>
    <xf numFmtId="0" fontId="2" fillId="2" borderId="15" xfId="0" applyFont="1" applyFill="1" applyBorder="1" applyAlignment="1">
      <alignment horizontal="center"/>
    </xf>
    <xf numFmtId="0" fontId="32" fillId="24" borderId="44" xfId="0" applyFont="1" applyFill="1" applyBorder="1" applyAlignment="1">
      <alignment horizontal="center" vertical="center"/>
    </xf>
    <xf numFmtId="0" fontId="32" fillId="24" borderId="30" xfId="0" applyFont="1" applyFill="1" applyBorder="1" applyAlignment="1">
      <alignment horizontal="center" vertical="center"/>
    </xf>
    <xf numFmtId="0" fontId="3" fillId="3" borderId="20" xfId="0" applyFont="1" applyFill="1" applyBorder="1" applyAlignment="1">
      <alignment horizontal="center"/>
    </xf>
    <xf numFmtId="0" fontId="3" fillId="3" borderId="16" xfId="0" applyFont="1" applyFill="1" applyBorder="1" applyAlignment="1">
      <alignment horizontal="center"/>
    </xf>
    <xf numFmtId="0" fontId="3" fillId="3" borderId="15" xfId="0" applyFont="1" applyFill="1" applyBorder="1" applyAlignment="1">
      <alignment horizontal="center"/>
    </xf>
    <xf numFmtId="0" fontId="3" fillId="17" borderId="20" xfId="0" applyFont="1" applyFill="1" applyBorder="1" applyAlignment="1">
      <alignment horizontal="center"/>
    </xf>
    <xf numFmtId="0" fontId="3" fillId="17" borderId="15" xfId="0" applyFont="1" applyFill="1" applyBorder="1" applyAlignment="1">
      <alignment horizontal="center"/>
    </xf>
    <xf numFmtId="0" fontId="2" fillId="17" borderId="20" xfId="0" applyFont="1" applyFill="1" applyBorder="1" applyAlignment="1">
      <alignment horizontal="center"/>
    </xf>
    <xf numFmtId="0" fontId="2" fillId="17" borderId="16" xfId="0" applyFont="1" applyFill="1" applyBorder="1" applyAlignment="1">
      <alignment horizontal="center"/>
    </xf>
    <xf numFmtId="0" fontId="2" fillId="17" borderId="15" xfId="0" applyFont="1" applyFill="1" applyBorder="1" applyAlignment="1">
      <alignment horizontal="center"/>
    </xf>
    <xf numFmtId="0" fontId="2" fillId="0" borderId="20" xfId="0" applyFont="1" applyBorder="1" applyAlignment="1">
      <alignment horizontal="center"/>
    </xf>
    <xf numFmtId="0" fontId="2" fillId="0" borderId="15" xfId="0" applyFont="1" applyBorder="1" applyAlignment="1">
      <alignment horizontal="center"/>
    </xf>
    <xf numFmtId="1" fontId="4" fillId="0" borderId="20" xfId="0" applyNumberFormat="1" applyFont="1" applyBorder="1" applyAlignment="1" applyProtection="1">
      <alignment horizontal="center"/>
      <protection hidden="1"/>
    </xf>
    <xf numFmtId="1" fontId="4" fillId="0" borderId="15" xfId="0" applyNumberFormat="1" applyFont="1" applyBorder="1" applyAlignment="1" applyProtection="1">
      <alignment horizontal="center"/>
      <protection hidden="1"/>
    </xf>
    <xf numFmtId="0" fontId="2" fillId="12" borderId="56" xfId="0" applyFont="1" applyFill="1" applyBorder="1" applyAlignment="1">
      <alignment horizontal="center" vertical="center"/>
    </xf>
    <xf numFmtId="0" fontId="2" fillId="12" borderId="45" xfId="0" applyFont="1" applyFill="1" applyBorder="1" applyAlignment="1">
      <alignment horizontal="center" vertical="center"/>
    </xf>
    <xf numFmtId="0" fontId="4" fillId="3" borderId="20"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1" fillId="2" borderId="20" xfId="0" applyFont="1" applyFill="1" applyBorder="1" applyAlignment="1">
      <alignment horizontal="center"/>
    </xf>
    <xf numFmtId="0" fontId="1" fillId="2" borderId="15" xfId="0" applyFont="1" applyFill="1" applyBorder="1" applyAlignment="1">
      <alignment horizontal="center"/>
    </xf>
    <xf numFmtId="0" fontId="22" fillId="12" borderId="20" xfId="0" applyFont="1" applyFill="1" applyBorder="1" applyAlignment="1">
      <alignment horizontal="center" vertical="center"/>
    </xf>
    <xf numFmtId="0" fontId="22" fillId="12" borderId="16" xfId="0" applyFont="1" applyFill="1" applyBorder="1" applyAlignment="1">
      <alignment horizontal="center" vertical="center"/>
    </xf>
    <xf numFmtId="0" fontId="22" fillId="12" borderId="15" xfId="0" applyFont="1" applyFill="1" applyBorder="1" applyAlignment="1">
      <alignment horizontal="center" vertical="center"/>
    </xf>
    <xf numFmtId="0" fontId="2" fillId="0" borderId="16" xfId="0" applyFont="1" applyBorder="1" applyAlignment="1">
      <alignment horizontal="center"/>
    </xf>
    <xf numFmtId="0" fontId="4" fillId="17" borderId="20" xfId="0" applyFont="1" applyFill="1" applyBorder="1" applyAlignment="1">
      <alignment horizontal="center"/>
    </xf>
    <xf numFmtId="0" fontId="4" fillId="17" borderId="16" xfId="0" applyFont="1" applyFill="1" applyBorder="1" applyAlignment="1">
      <alignment horizontal="center"/>
    </xf>
    <xf numFmtId="0" fontId="4" fillId="17" borderId="15" xfId="0" applyFont="1" applyFill="1" applyBorder="1" applyAlignment="1">
      <alignment horizontal="center"/>
    </xf>
    <xf numFmtId="0" fontId="2" fillId="28" borderId="20" xfId="0" applyFont="1" applyFill="1" applyBorder="1" applyAlignment="1">
      <alignment horizontal="center" vertical="center"/>
    </xf>
    <xf numFmtId="0" fontId="2" fillId="28" borderId="16" xfId="0" applyFont="1" applyFill="1" applyBorder="1" applyAlignment="1">
      <alignment horizontal="center" vertical="center"/>
    </xf>
    <xf numFmtId="0" fontId="2" fillId="28" borderId="15" xfId="0" applyFont="1" applyFill="1" applyBorder="1" applyAlignment="1">
      <alignment horizontal="center" vertical="center"/>
    </xf>
    <xf numFmtId="0" fontId="4" fillId="28" borderId="20" xfId="0" applyFont="1" applyFill="1" applyBorder="1" applyAlignment="1">
      <alignment horizontal="center"/>
    </xf>
    <xf numFmtId="0" fontId="4" fillId="28" borderId="16" xfId="0" applyFont="1" applyFill="1" applyBorder="1" applyAlignment="1">
      <alignment horizontal="center"/>
    </xf>
    <xf numFmtId="0" fontId="4" fillId="28" borderId="15" xfId="0" applyFont="1" applyFill="1" applyBorder="1" applyAlignment="1">
      <alignment horizontal="center"/>
    </xf>
    <xf numFmtId="0" fontId="2" fillId="17" borderId="20" xfId="0" applyFont="1" applyFill="1" applyBorder="1" applyAlignment="1">
      <alignment horizontal="center" vertical="center"/>
    </xf>
    <xf numFmtId="0" fontId="2" fillId="17" borderId="16" xfId="0" applyFont="1" applyFill="1" applyBorder="1" applyAlignment="1">
      <alignment horizontal="center" vertical="center"/>
    </xf>
    <xf numFmtId="0" fontId="2" fillId="17" borderId="15" xfId="0" applyFont="1" applyFill="1" applyBorder="1" applyAlignment="1">
      <alignment horizontal="center" vertical="center"/>
    </xf>
    <xf numFmtId="0" fontId="7" fillId="13" borderId="20" xfId="0" applyFont="1" applyFill="1" applyBorder="1" applyAlignment="1">
      <alignment horizontal="center" vertical="center"/>
    </xf>
    <xf numFmtId="0" fontId="7" fillId="13" borderId="15" xfId="0" applyFont="1" applyFill="1" applyBorder="1" applyAlignment="1">
      <alignment horizontal="center" vertical="center"/>
    </xf>
    <xf numFmtId="1" fontId="17" fillId="17" borderId="20" xfId="0" applyNumberFormat="1" applyFont="1" applyFill="1" applyBorder="1" applyAlignment="1" applyProtection="1">
      <alignment horizontal="center"/>
      <protection hidden="1"/>
    </xf>
    <xf numFmtId="1" fontId="17" fillId="17" borderId="16" xfId="0" applyNumberFormat="1" applyFont="1" applyFill="1" applyBorder="1" applyAlignment="1" applyProtection="1">
      <alignment horizontal="center"/>
      <protection hidden="1"/>
    </xf>
    <xf numFmtId="1" fontId="17" fillId="17" borderId="15" xfId="0" applyNumberFormat="1" applyFont="1" applyFill="1" applyBorder="1" applyAlignment="1" applyProtection="1">
      <alignment horizontal="center"/>
      <protection hidden="1"/>
    </xf>
    <xf numFmtId="0" fontId="1" fillId="0" borderId="31" xfId="0" applyFont="1" applyBorder="1" applyAlignment="1">
      <alignment horizontal="center"/>
    </xf>
    <xf numFmtId="0" fontId="1" fillId="0" borderId="57" xfId="0" applyFont="1" applyBorder="1" applyAlignment="1">
      <alignment horizontal="center"/>
    </xf>
    <xf numFmtId="0" fontId="2" fillId="12" borderId="20" xfId="0" applyFont="1" applyFill="1" applyBorder="1" applyAlignment="1">
      <alignment horizontal="center"/>
    </xf>
    <xf numFmtId="0" fontId="2" fillId="12" borderId="15" xfId="0" applyFont="1" applyFill="1" applyBorder="1" applyAlignment="1">
      <alignment horizontal="center"/>
    </xf>
    <xf numFmtId="0" fontId="1" fillId="0" borderId="20" xfId="0" applyFont="1" applyBorder="1" applyAlignment="1">
      <alignment horizontal="center"/>
    </xf>
    <xf numFmtId="0" fontId="1" fillId="0" borderId="15" xfId="0" applyFont="1" applyBorder="1" applyAlignment="1">
      <alignment horizontal="center"/>
    </xf>
    <xf numFmtId="0" fontId="17" fillId="12" borderId="20" xfId="0" applyFont="1" applyFill="1" applyBorder="1" applyAlignment="1">
      <alignment horizontal="center" vertical="center"/>
    </xf>
    <xf numFmtId="0" fontId="17" fillId="12" borderId="16" xfId="0" applyFont="1" applyFill="1" applyBorder="1" applyAlignment="1">
      <alignment horizontal="center" vertical="center"/>
    </xf>
    <xf numFmtId="0" fontId="2" fillId="17" borderId="20" xfId="0" applyFont="1" applyFill="1" applyBorder="1" applyAlignment="1">
      <alignment horizontal="left" vertical="center"/>
    </xf>
    <xf numFmtId="0" fontId="2" fillId="17" borderId="16" xfId="0" applyFont="1" applyFill="1" applyBorder="1" applyAlignment="1">
      <alignment horizontal="left" vertical="center"/>
    </xf>
    <xf numFmtId="0" fontId="2" fillId="17" borderId="15" xfId="0" applyFont="1" applyFill="1" applyBorder="1" applyAlignment="1">
      <alignment horizontal="left" vertical="center"/>
    </xf>
    <xf numFmtId="0" fontId="2" fillId="28" borderId="20" xfId="0" applyFont="1" applyFill="1" applyBorder="1" applyAlignment="1">
      <alignment horizontal="left" vertical="center"/>
    </xf>
    <xf numFmtId="0" fontId="2" fillId="28" borderId="16" xfId="0" applyFont="1" applyFill="1" applyBorder="1" applyAlignment="1">
      <alignment horizontal="left" vertical="center"/>
    </xf>
    <xf numFmtId="0" fontId="2" fillId="28" borderId="15" xfId="0" applyFont="1" applyFill="1" applyBorder="1" applyAlignment="1">
      <alignment horizontal="left" vertical="center"/>
    </xf>
    <xf numFmtId="0" fontId="1" fillId="3" borderId="20" xfId="0" applyFont="1" applyFill="1" applyBorder="1" applyAlignment="1">
      <alignment horizontal="center"/>
    </xf>
    <xf numFmtId="0" fontId="1" fillId="3" borderId="15" xfId="0" applyFont="1" applyFill="1" applyBorder="1" applyAlignment="1">
      <alignment horizontal="center"/>
    </xf>
    <xf numFmtId="0" fontId="2" fillId="21" borderId="20" xfId="0" applyFont="1" applyFill="1" applyBorder="1" applyAlignment="1">
      <alignment horizontal="center"/>
    </xf>
    <xf numFmtId="0" fontId="2" fillId="21" borderId="31" xfId="0" applyFont="1" applyFill="1" applyBorder="1" applyAlignment="1">
      <alignment horizontal="center"/>
    </xf>
    <xf numFmtId="0" fontId="2" fillId="21" borderId="15" xfId="0" applyFont="1" applyFill="1" applyBorder="1" applyAlignment="1">
      <alignment horizontal="center"/>
    </xf>
    <xf numFmtId="3" fontId="31" fillId="17" borderId="44" xfId="0" applyNumberFormat="1" applyFont="1" applyFill="1" applyBorder="1" applyAlignment="1" applyProtection="1">
      <alignment horizontal="center"/>
      <protection hidden="1"/>
    </xf>
    <xf numFmtId="3" fontId="31" fillId="17" borderId="30" xfId="0" applyNumberFormat="1" applyFont="1" applyFill="1" applyBorder="1" applyAlignment="1" applyProtection="1">
      <alignment horizontal="center"/>
      <protection hidden="1"/>
    </xf>
    <xf numFmtId="3" fontId="31" fillId="6" borderId="44" xfId="0" applyNumberFormat="1" applyFont="1" applyFill="1" applyBorder="1" applyAlignment="1" applyProtection="1">
      <alignment horizontal="center"/>
      <protection hidden="1"/>
    </xf>
    <xf numFmtId="3" fontId="31" fillId="6" borderId="30" xfId="0" applyNumberFormat="1" applyFont="1" applyFill="1" applyBorder="1" applyAlignment="1" applyProtection="1">
      <alignment horizontal="center"/>
      <protection hidden="1"/>
    </xf>
    <xf numFmtId="0" fontId="4" fillId="2" borderId="44"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0" xfId="0" applyFont="1" applyFill="1" applyBorder="1" applyAlignment="1">
      <alignment horizontal="center" vertical="center" wrapText="1"/>
    </xf>
    <xf numFmtId="1" fontId="25" fillId="2" borderId="44" xfId="0" applyNumberFormat="1" applyFont="1" applyFill="1" applyBorder="1" applyAlignment="1" applyProtection="1">
      <alignment horizontal="center" vertical="center"/>
      <protection hidden="1"/>
    </xf>
    <xf numFmtId="1" fontId="25" fillId="2" borderId="30" xfId="0" applyNumberFormat="1" applyFont="1" applyFill="1" applyBorder="1" applyAlignment="1" applyProtection="1">
      <alignment horizontal="center" vertical="center"/>
      <protection hidden="1"/>
    </xf>
    <xf numFmtId="0" fontId="26" fillId="21" borderId="44" xfId="0" applyFont="1" applyFill="1" applyBorder="1" applyAlignment="1">
      <alignment horizontal="center"/>
    </xf>
    <xf numFmtId="0" fontId="26" fillId="21" borderId="58" xfId="0" applyFont="1" applyFill="1" applyBorder="1" applyAlignment="1">
      <alignment horizontal="center"/>
    </xf>
    <xf numFmtId="1" fontId="12" fillId="0" borderId="0" xfId="0" applyNumberFormat="1" applyFont="1" applyFill="1" applyBorder="1" applyAlignment="1" applyProtection="1">
      <alignment horizontal="center"/>
      <protection hidden="1"/>
    </xf>
    <xf numFmtId="0" fontId="6" fillId="5" borderId="20" xfId="0" applyFont="1" applyFill="1" applyBorder="1" applyAlignment="1">
      <alignment horizontal="center"/>
    </xf>
    <xf numFmtId="0" fontId="6" fillId="5" borderId="16" xfId="0" applyFont="1" applyFill="1" applyBorder="1" applyAlignment="1">
      <alignment horizontal="center"/>
    </xf>
    <xf numFmtId="0" fontId="6" fillId="5" borderId="15" xfId="0" applyFont="1" applyFill="1" applyBorder="1" applyAlignment="1">
      <alignment horizontal="center"/>
    </xf>
    <xf numFmtId="3" fontId="29" fillId="5" borderId="20" xfId="0" applyNumberFormat="1" applyFont="1" applyFill="1" applyBorder="1" applyAlignment="1" applyProtection="1">
      <alignment horizontal="center" vertical="center"/>
      <protection hidden="1"/>
    </xf>
    <xf numFmtId="3" fontId="29" fillId="5" borderId="15" xfId="0" applyNumberFormat="1" applyFont="1" applyFill="1" applyBorder="1" applyAlignment="1" applyProtection="1">
      <alignment horizontal="center" vertical="center"/>
      <protection hidden="1"/>
    </xf>
    <xf numFmtId="1" fontId="8" fillId="18" borderId="44" xfId="0" applyNumberFormat="1" applyFont="1" applyFill="1" applyBorder="1" applyAlignment="1">
      <alignment horizontal="center"/>
    </xf>
    <xf numFmtId="1" fontId="8" fillId="18" borderId="32" xfId="0" applyNumberFormat="1" applyFont="1" applyFill="1" applyBorder="1" applyAlignment="1">
      <alignment horizontal="center"/>
    </xf>
    <xf numFmtId="1" fontId="8" fillId="18" borderId="30" xfId="0" applyNumberFormat="1" applyFont="1" applyFill="1" applyBorder="1" applyAlignment="1">
      <alignment horizontal="center"/>
    </xf>
    <xf numFmtId="1" fontId="14" fillId="4" borderId="44" xfId="0" applyNumberFormat="1" applyFont="1" applyFill="1" applyBorder="1" applyAlignment="1">
      <alignment horizontal="center" vertical="center"/>
    </xf>
    <xf numFmtId="1" fontId="14" fillId="4" borderId="32" xfId="0" applyNumberFormat="1" applyFont="1" applyFill="1" applyBorder="1" applyAlignment="1">
      <alignment horizontal="center" vertical="center"/>
    </xf>
    <xf numFmtId="1" fontId="14" fillId="4" borderId="30" xfId="0" applyNumberFormat="1" applyFont="1" applyFill="1" applyBorder="1" applyAlignment="1">
      <alignment horizontal="center" vertical="center"/>
    </xf>
    <xf numFmtId="0" fontId="6" fillId="2" borderId="44"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0" xfId="0" applyFont="1" applyFill="1" applyBorder="1" applyAlignment="1">
      <alignment horizontal="center" vertical="center"/>
    </xf>
    <xf numFmtId="0" fontId="12" fillId="0" borderId="0" xfId="0" applyFont="1" applyFill="1" applyBorder="1" applyAlignment="1">
      <alignment horizontal="center" vertical="center"/>
    </xf>
    <xf numFmtId="1" fontId="8" fillId="17" borderId="44" xfId="0" applyNumberFormat="1" applyFont="1" applyFill="1" applyBorder="1" applyAlignment="1">
      <alignment horizontal="center" vertical="center" wrapText="1"/>
    </xf>
    <xf numFmtId="1" fontId="8" fillId="17" borderId="32" xfId="0" applyNumberFormat="1" applyFont="1" applyFill="1" applyBorder="1" applyAlignment="1">
      <alignment horizontal="center" vertical="center" wrapText="1"/>
    </xf>
    <xf numFmtId="1" fontId="8" fillId="17" borderId="30" xfId="0" applyNumberFormat="1" applyFont="1" applyFill="1" applyBorder="1" applyAlignment="1">
      <alignment horizontal="center" vertical="center" wrapText="1"/>
    </xf>
    <xf numFmtId="1" fontId="8" fillId="17" borderId="34" xfId="0" applyNumberFormat="1" applyFont="1" applyFill="1" applyBorder="1" applyAlignment="1">
      <alignment horizontal="center" vertical="center" wrapText="1"/>
    </xf>
    <xf numFmtId="1" fontId="8" fillId="17" borderId="55" xfId="0" applyNumberFormat="1" applyFont="1" applyFill="1" applyBorder="1" applyAlignment="1">
      <alignment horizontal="center" vertical="center" wrapText="1"/>
    </xf>
    <xf numFmtId="1" fontId="8" fillId="17" borderId="29" xfId="0" applyNumberFormat="1" applyFont="1" applyFill="1" applyBorder="1" applyAlignment="1">
      <alignment horizontal="center" vertical="center" wrapText="1"/>
    </xf>
    <xf numFmtId="1" fontId="5" fillId="17" borderId="34" xfId="0" applyNumberFormat="1" applyFont="1" applyFill="1" applyBorder="1" applyAlignment="1">
      <alignment horizontal="center" vertical="center" wrapText="1" shrinkToFit="1"/>
    </xf>
    <xf numFmtId="1" fontId="5" fillId="17" borderId="55" xfId="0" applyNumberFormat="1" applyFont="1" applyFill="1" applyBorder="1" applyAlignment="1">
      <alignment horizontal="center" vertical="center" wrapText="1" shrinkToFit="1"/>
    </xf>
    <xf numFmtId="1" fontId="5" fillId="17" borderId="29" xfId="0" applyNumberFormat="1" applyFont="1" applyFill="1" applyBorder="1" applyAlignment="1">
      <alignment horizontal="center" vertical="center" wrapText="1" shrinkToFit="1"/>
    </xf>
    <xf numFmtId="1" fontId="5" fillId="17" borderId="44" xfId="0" applyNumberFormat="1" applyFont="1" applyFill="1" applyBorder="1" applyAlignment="1">
      <alignment horizontal="center" vertical="center" wrapText="1" shrinkToFit="1"/>
    </xf>
    <xf numFmtId="1" fontId="5" fillId="17" borderId="32" xfId="0" applyNumberFormat="1" applyFont="1" applyFill="1" applyBorder="1" applyAlignment="1">
      <alignment horizontal="center" vertical="center" wrapText="1" shrinkToFit="1"/>
    </xf>
    <xf numFmtId="1" fontId="5" fillId="17" borderId="30" xfId="0" applyNumberFormat="1" applyFont="1" applyFill="1" applyBorder="1" applyAlignment="1">
      <alignment horizontal="center" vertical="center" wrapText="1" shrinkToFit="1"/>
    </xf>
    <xf numFmtId="1" fontId="14" fillId="4" borderId="33" xfId="0" applyNumberFormat="1" applyFont="1" applyFill="1" applyBorder="1" applyAlignment="1">
      <alignment horizontal="center" vertical="center"/>
    </xf>
    <xf numFmtId="1" fontId="14" fillId="4" borderId="0" xfId="0" applyNumberFormat="1" applyFont="1" applyFill="1" applyBorder="1" applyAlignment="1">
      <alignment horizontal="center" vertical="center"/>
    </xf>
    <xf numFmtId="1" fontId="14" fillId="4" borderId="59" xfId="0" applyNumberFormat="1" applyFont="1" applyFill="1" applyBorder="1" applyAlignment="1">
      <alignment horizontal="center" vertical="center"/>
    </xf>
    <xf numFmtId="1" fontId="8" fillId="17" borderId="44" xfId="0" applyNumberFormat="1" applyFont="1" applyFill="1" applyBorder="1" applyAlignment="1">
      <alignment horizontal="center" vertical="center" wrapText="1" shrinkToFit="1"/>
    </xf>
    <xf numFmtId="0" fontId="0" fillId="17" borderId="32" xfId="0" applyFont="1" applyFill="1" applyBorder="1" applyAlignment="1">
      <alignment horizontal="center" vertical="center" wrapText="1" shrinkToFit="1"/>
    </xf>
    <xf numFmtId="0" fontId="0" fillId="17" borderId="30" xfId="0" applyFont="1" applyFill="1" applyBorder="1" applyAlignment="1">
      <alignment horizontal="center" vertical="center" wrapText="1" shrinkToFit="1"/>
    </xf>
    <xf numFmtId="0" fontId="14" fillId="4" borderId="44" xfId="0" applyFont="1" applyFill="1" applyBorder="1" applyAlignment="1">
      <alignment horizontal="center" vertical="center"/>
    </xf>
    <xf numFmtId="0" fontId="14" fillId="4" borderId="32" xfId="0" applyFont="1" applyFill="1" applyBorder="1" applyAlignment="1">
      <alignment horizontal="center" vertical="center"/>
    </xf>
    <xf numFmtId="0" fontId="14" fillId="4" borderId="30" xfId="0" applyFont="1" applyFill="1" applyBorder="1" applyAlignment="1">
      <alignment horizontal="center" vertical="center"/>
    </xf>
    <xf numFmtId="0" fontId="5" fillId="17" borderId="44" xfId="0" applyFont="1" applyFill="1" applyBorder="1" applyAlignment="1">
      <alignment horizontal="center" vertical="center"/>
    </xf>
    <xf numFmtId="0" fontId="5" fillId="17" borderId="32" xfId="0" applyFont="1" applyFill="1" applyBorder="1" applyAlignment="1">
      <alignment horizontal="center" vertical="center"/>
    </xf>
    <xf numFmtId="0" fontId="5" fillId="17" borderId="30"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12" borderId="34" xfId="0" applyFont="1" applyFill="1" applyBorder="1" applyAlignment="1">
      <alignment horizontal="center" vertical="center" wrapText="1"/>
    </xf>
    <xf numFmtId="0" fontId="5" fillId="12" borderId="55" xfId="0" applyFont="1" applyFill="1" applyBorder="1" applyAlignment="1">
      <alignment horizontal="center" vertical="center" wrapText="1"/>
    </xf>
    <xf numFmtId="0" fontId="5" fillId="12" borderId="29" xfId="0" applyFont="1" applyFill="1" applyBorder="1" applyAlignment="1">
      <alignment horizontal="center" vertical="center" wrapText="1"/>
    </xf>
    <xf numFmtId="0" fontId="26" fillId="0" borderId="0"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RPF%20ACTIVOS%20MENSUAL%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RPF"/>
      <sheetName val="DEDUCCIONES"/>
      <sheetName val="GUIA TRABAJAD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s>
</file>

<file path=xl/worksheets/_rels/sheet16.xml.rels><?xml version="1.0" encoding="utf-8" standalone="yes"?><Relationships xmlns="http://schemas.openxmlformats.org/package/2006/relationships"><Relationship Id="rId1" Type="http://schemas.openxmlformats.org/officeDocument/2006/relationships/oleObject" Target="../embeddings/oleObject_15_0.bin" /><Relationship Id="rId2" Type="http://schemas.openxmlformats.org/officeDocument/2006/relationships/vmlDrawing" Target="../drawings/vmlDrawing15.vml" /><Relationship Id="rId3"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G53"/>
  <sheetViews>
    <sheetView showGridLines="0" tabSelected="1" workbookViewId="0" topLeftCell="B1">
      <selection activeCell="B45" sqref="B45:E45"/>
    </sheetView>
  </sheetViews>
  <sheetFormatPr defaultColWidth="11.421875" defaultRowHeight="12.75"/>
  <cols>
    <col min="1" max="1" width="15.57421875" style="0" hidden="1" customWidth="1"/>
    <col min="2" max="2" width="16.8515625" style="0" customWidth="1"/>
    <col min="3" max="3" width="18.7109375" style="0" customWidth="1"/>
    <col min="4" max="4" width="18.421875" style="0" customWidth="1"/>
    <col min="5" max="5" width="18.8515625" style="0" customWidth="1"/>
    <col min="6" max="6" width="11.7109375" style="0" hidden="1" customWidth="1"/>
    <col min="7" max="7" width="12.421875" style="0" bestFit="1" customWidth="1"/>
  </cols>
  <sheetData>
    <row r="1" spans="2:7" ht="21" thickBot="1">
      <c r="B1" s="346" t="s">
        <v>86</v>
      </c>
      <c r="C1" s="347"/>
      <c r="D1" s="347"/>
      <c r="E1" s="347"/>
      <c r="F1" s="347"/>
      <c r="G1" s="348"/>
    </row>
    <row r="2" ht="13.5" hidden="1" thickBot="1"/>
    <row r="3" spans="2:5" ht="17.25" thickBot="1" thickTop="1">
      <c r="B3" s="361" t="s">
        <v>38</v>
      </c>
      <c r="C3" s="362"/>
      <c r="D3" s="362"/>
      <c r="E3" s="363"/>
    </row>
    <row r="4" spans="2:7" ht="14.25" thickBot="1" thickTop="1">
      <c r="B4" s="180" t="s">
        <v>5</v>
      </c>
      <c r="C4" s="180" t="s">
        <v>8</v>
      </c>
      <c r="D4" s="180" t="s">
        <v>9</v>
      </c>
      <c r="E4" s="180" t="s">
        <v>88</v>
      </c>
      <c r="G4" s="179" t="s">
        <v>5</v>
      </c>
    </row>
    <row r="5" spans="1:7" ht="12.75">
      <c r="A5">
        <f>G5</f>
        <v>163296</v>
      </c>
      <c r="B5" s="188" t="s">
        <v>95</v>
      </c>
      <c r="C5" s="216">
        <f>IF(C41&gt;G5,G5,G5-C41)</f>
        <v>163296</v>
      </c>
      <c r="D5" s="189">
        <v>0</v>
      </c>
      <c r="E5" s="222">
        <f aca="true" t="shared" si="0" ref="E5:E10">C5*D5</f>
        <v>0</v>
      </c>
      <c r="F5" s="190"/>
      <c r="G5" s="237">
        <f>84*Parámetros!E32</f>
        <v>163296</v>
      </c>
    </row>
    <row r="6" spans="1:7" ht="12.75">
      <c r="A6">
        <f>IF(C41&gt;=G6,G6-G5,C41-G5)</f>
        <v>-163296</v>
      </c>
      <c r="B6" s="191" t="s">
        <v>96</v>
      </c>
      <c r="C6" s="217">
        <f>IF(A6&lt;=0,0,A6)</f>
        <v>0</v>
      </c>
      <c r="D6" s="192">
        <v>0.1</v>
      </c>
      <c r="E6" s="223">
        <f t="shared" si="0"/>
        <v>0</v>
      </c>
      <c r="F6" s="193"/>
      <c r="G6" s="238">
        <f>120*Parámetros!E32</f>
        <v>233280</v>
      </c>
    </row>
    <row r="7" spans="1:7" ht="12.75">
      <c r="A7">
        <f>IF(C41&gt;=G7,G7-G6,C41-G6)</f>
        <v>-233280</v>
      </c>
      <c r="B7" s="202" t="s">
        <v>65</v>
      </c>
      <c r="C7" s="218">
        <f>IF(A7&lt;=0,0,A7)</f>
        <v>0</v>
      </c>
      <c r="D7" s="203">
        <v>0.15</v>
      </c>
      <c r="E7" s="224">
        <f t="shared" si="0"/>
        <v>0</v>
      </c>
      <c r="F7" s="204"/>
      <c r="G7" s="239">
        <f>180*Parámetros!E32</f>
        <v>349920</v>
      </c>
    </row>
    <row r="8" spans="1:7" ht="12.75">
      <c r="A8">
        <f>IF(C41&gt;=G8,G8-G7,C41-G7)</f>
        <v>-349920</v>
      </c>
      <c r="B8" s="194" t="s">
        <v>66</v>
      </c>
      <c r="C8" s="219">
        <f>IF(A8&lt;=0,0,A8)</f>
        <v>0</v>
      </c>
      <c r="D8" s="195">
        <v>0.2</v>
      </c>
      <c r="E8" s="225">
        <f t="shared" si="0"/>
        <v>0</v>
      </c>
      <c r="F8" s="196"/>
      <c r="G8" s="240">
        <f>600*Parámetros!E32</f>
        <v>1166400</v>
      </c>
    </row>
    <row r="9" spans="1:7" ht="13.5" thickBot="1">
      <c r="A9">
        <f>IF(C41&gt;=G9,G9-G8,C41-G8)</f>
        <v>-1166400</v>
      </c>
      <c r="B9" s="200" t="s">
        <v>67</v>
      </c>
      <c r="C9" s="220">
        <f>IF(A9&lt;=0,0,A9)</f>
        <v>0</v>
      </c>
      <c r="D9" s="201">
        <v>0.22</v>
      </c>
      <c r="E9" s="226">
        <f t="shared" si="0"/>
        <v>0</v>
      </c>
      <c r="F9" s="197"/>
      <c r="G9" s="241">
        <f>1200*Parámetros!E32</f>
        <v>2332800</v>
      </c>
    </row>
    <row r="10" spans="1:5" ht="13.5" thickBot="1">
      <c r="A10">
        <f>IF(C41&gt;G9,C41-G9,0)</f>
        <v>0</v>
      </c>
      <c r="B10" s="198" t="s">
        <v>83</v>
      </c>
      <c r="C10" s="221">
        <f>IF(A10&lt;=0,0,A10)</f>
        <v>0</v>
      </c>
      <c r="D10" s="199">
        <v>0.25</v>
      </c>
      <c r="E10" s="227">
        <f t="shared" si="0"/>
        <v>0</v>
      </c>
    </row>
    <row r="11" spans="3:5" ht="21" thickBot="1">
      <c r="C11" s="364" t="s">
        <v>40</v>
      </c>
      <c r="D11" s="365"/>
      <c r="E11" s="330">
        <f>SUM(E6:E10)</f>
        <v>0</v>
      </c>
    </row>
    <row r="12" spans="2:5" ht="21.75" hidden="1" thickBot="1" thickTop="1">
      <c r="B12" s="366" t="s">
        <v>87</v>
      </c>
      <c r="C12" s="367"/>
      <c r="D12" s="368"/>
      <c r="E12" s="328">
        <f>IF(E11-E23&lt;0,0,E11-E23)</f>
        <v>0</v>
      </c>
    </row>
    <row r="13" ht="13.5" hidden="1" thickBot="1"/>
    <row r="14" spans="2:5" ht="18.75" thickBot="1">
      <c r="B14" s="369" t="s">
        <v>92</v>
      </c>
      <c r="C14" s="370"/>
      <c r="D14" s="371"/>
      <c r="E14" s="327">
        <f>D41</f>
        <v>0</v>
      </c>
    </row>
    <row r="15" spans="2:5" ht="16.5" hidden="1" thickBot="1">
      <c r="B15" s="186"/>
      <c r="C15" s="186"/>
      <c r="D15" s="186"/>
      <c r="E15" s="185"/>
    </row>
    <row r="16" spans="3:5" ht="19.5" thickBot="1" thickTop="1">
      <c r="C16" s="352" t="s">
        <v>22</v>
      </c>
      <c r="D16" s="353"/>
      <c r="E16" s="354"/>
    </row>
    <row r="17" spans="2:7" ht="14.25" thickBot="1" thickTop="1">
      <c r="B17" s="85" t="s">
        <v>5</v>
      </c>
      <c r="C17" s="180" t="s">
        <v>18</v>
      </c>
      <c r="D17" s="180" t="s">
        <v>9</v>
      </c>
      <c r="E17" s="180" t="s">
        <v>88</v>
      </c>
      <c r="G17" s="179" t="s">
        <v>5</v>
      </c>
    </row>
    <row r="18" spans="1:7" ht="12.75">
      <c r="A18" s="1">
        <f>IF(E14&lt;=G18,E14,G18)</f>
        <v>0</v>
      </c>
      <c r="B18" s="205" t="s">
        <v>97</v>
      </c>
      <c r="C18" s="228">
        <f>IF(A18&lt;=0,0,A18)</f>
        <v>0</v>
      </c>
      <c r="D18" s="206">
        <v>0.1</v>
      </c>
      <c r="E18" s="232">
        <f>C18*D18</f>
        <v>0</v>
      </c>
      <c r="F18" s="207"/>
      <c r="G18" s="242">
        <f>36*Parámetros!E32</f>
        <v>69984</v>
      </c>
    </row>
    <row r="19" spans="1:7" ht="12.75">
      <c r="A19" s="1">
        <f>IF(E14&gt;=G19,G19-G18,E14-G18)</f>
        <v>-69984</v>
      </c>
      <c r="B19" s="64" t="s">
        <v>98</v>
      </c>
      <c r="C19" s="229">
        <f>IF(A19&lt;=0,0,A19)</f>
        <v>0</v>
      </c>
      <c r="D19" s="66">
        <v>0.15</v>
      </c>
      <c r="E19" s="233">
        <f>C19*D19</f>
        <v>0</v>
      </c>
      <c r="F19" s="208"/>
      <c r="G19" s="243">
        <f>96*Parámetros!E32</f>
        <v>186624</v>
      </c>
    </row>
    <row r="20" spans="1:7" ht="12.75">
      <c r="A20" s="1">
        <f>IF(E14&gt;=G20,G20-G19,E14-G19)</f>
        <v>-186624</v>
      </c>
      <c r="B20" s="68" t="s">
        <v>99</v>
      </c>
      <c r="C20" s="230">
        <f>IF(A20&lt;=0,0,A20)</f>
        <v>0</v>
      </c>
      <c r="D20" s="70">
        <v>0.2</v>
      </c>
      <c r="E20" s="234">
        <f>C20*D20</f>
        <v>0</v>
      </c>
      <c r="F20" s="209"/>
      <c r="G20" s="244">
        <f>516*Parámetros!E32</f>
        <v>1003104</v>
      </c>
    </row>
    <row r="21" spans="1:7" ht="13.5" thickBot="1">
      <c r="A21" s="1">
        <f>IF(E14&gt;=G21,G21-G20,E14-G20)</f>
        <v>-1003104</v>
      </c>
      <c r="B21" s="72" t="s">
        <v>100</v>
      </c>
      <c r="C21" s="231">
        <f>IF(A21&lt;=0,0,A21)</f>
        <v>0</v>
      </c>
      <c r="D21" s="74">
        <v>0.22</v>
      </c>
      <c r="E21" s="235">
        <f>C21*D21</f>
        <v>0</v>
      </c>
      <c r="F21" s="210"/>
      <c r="G21" s="245">
        <f>1116*Parámetros!E32</f>
        <v>2169504</v>
      </c>
    </row>
    <row r="22" spans="1:5" ht="13.5" thickBot="1">
      <c r="A22" s="1">
        <f>IF(E14&gt;G21,E14-G21,0)</f>
        <v>0</v>
      </c>
      <c r="B22" s="211" t="s">
        <v>101</v>
      </c>
      <c r="C22" s="261">
        <f>IF(A22&lt;=0,0,A22)</f>
        <v>0</v>
      </c>
      <c r="D22" s="78">
        <v>0.25</v>
      </c>
      <c r="E22" s="236">
        <f>C22*D22</f>
        <v>0</v>
      </c>
    </row>
    <row r="23" spans="3:5" ht="21.75" thickBot="1" thickTop="1">
      <c r="C23" s="372" t="s">
        <v>93</v>
      </c>
      <c r="D23" s="373"/>
      <c r="E23" s="329">
        <f>SUM(E18:E22)</f>
        <v>0</v>
      </c>
    </row>
    <row r="24" ht="14.25" hidden="1" thickBot="1" thickTop="1"/>
    <row r="25" spans="3:7" ht="17.25" thickBot="1" thickTop="1">
      <c r="C25" s="313" t="s">
        <v>80</v>
      </c>
      <c r="D25" s="314" t="s">
        <v>22</v>
      </c>
      <c r="E25" s="315" t="s">
        <v>90</v>
      </c>
      <c r="F25" s="187"/>
      <c r="G25" s="27"/>
    </row>
    <row r="26" spans="2:7" ht="13.5" thickTop="1">
      <c r="B26" s="307" t="s">
        <v>68</v>
      </c>
      <c r="C26" s="316">
        <f>Enero!C52+Enero!D54</f>
        <v>0</v>
      </c>
      <c r="D26" s="317">
        <f>Enero!E111</f>
        <v>0</v>
      </c>
      <c r="E26" s="318">
        <f>Enero!C44</f>
        <v>0</v>
      </c>
      <c r="F26" s="310"/>
      <c r="G26" s="170"/>
    </row>
    <row r="27" spans="2:7" ht="12.75">
      <c r="B27" s="308" t="s">
        <v>69</v>
      </c>
      <c r="C27" s="319">
        <f>Febrero!C52+Febrero!D54</f>
        <v>0</v>
      </c>
      <c r="D27" s="246">
        <f>Febrero!E111</f>
        <v>0</v>
      </c>
      <c r="E27" s="320">
        <f>Febrero!C44</f>
        <v>0</v>
      </c>
      <c r="F27" s="311"/>
      <c r="G27" s="170"/>
    </row>
    <row r="28" spans="2:7" ht="12.75">
      <c r="B28" s="308" t="s">
        <v>70</v>
      </c>
      <c r="C28" s="319">
        <f>Marzo!C52+Marzo!D54</f>
        <v>0</v>
      </c>
      <c r="D28" s="246">
        <f>Marzo!E111</f>
        <v>0</v>
      </c>
      <c r="E28" s="320">
        <f>Marzo!C44</f>
        <v>0</v>
      </c>
      <c r="F28" s="311"/>
      <c r="G28" s="170"/>
    </row>
    <row r="29" spans="2:7" ht="12.75">
      <c r="B29" s="308" t="s">
        <v>71</v>
      </c>
      <c r="C29" s="319">
        <f>Abril!C52+Abril!D54</f>
        <v>0</v>
      </c>
      <c r="D29" s="246">
        <f>Abril!E111</f>
        <v>0</v>
      </c>
      <c r="E29" s="320">
        <f>Abril!C44</f>
        <v>0</v>
      </c>
      <c r="F29" s="311"/>
      <c r="G29" s="170"/>
    </row>
    <row r="30" spans="2:7" ht="12.75">
      <c r="B30" s="308" t="s">
        <v>72</v>
      </c>
      <c r="C30" s="319">
        <f>Mayo!C52+Mayo!D54</f>
        <v>0</v>
      </c>
      <c r="D30" s="246">
        <f>Mayo!E111</f>
        <v>0</v>
      </c>
      <c r="E30" s="320">
        <f>Mayo!C44</f>
        <v>0</v>
      </c>
      <c r="F30" s="311"/>
      <c r="G30" s="170"/>
    </row>
    <row r="31" spans="2:7" ht="12.75">
      <c r="B31" s="308" t="s">
        <v>128</v>
      </c>
      <c r="C31" s="319">
        <f>AGUINALDO!G4</f>
        <v>0</v>
      </c>
      <c r="D31" s="246">
        <f>AGUINALDO!E111</f>
        <v>0</v>
      </c>
      <c r="E31" s="320">
        <f>AGUINALDO!E36</f>
        <v>0</v>
      </c>
      <c r="F31" s="311"/>
      <c r="G31" s="170"/>
    </row>
    <row r="32" spans="2:7" ht="12.75">
      <c r="B32" s="308" t="s">
        <v>73</v>
      </c>
      <c r="C32" s="319">
        <f>Junio!C52+Junio!D54</f>
        <v>0</v>
      </c>
      <c r="D32" s="246">
        <f>Junio!E111</f>
        <v>0</v>
      </c>
      <c r="E32" s="320">
        <f>Junio!C44</f>
        <v>0</v>
      </c>
      <c r="F32" s="311"/>
      <c r="G32" s="170"/>
    </row>
    <row r="33" spans="2:7" ht="12.75">
      <c r="B33" s="308" t="s">
        <v>74</v>
      </c>
      <c r="C33" s="319">
        <f>Julio!C52+Julio!D54</f>
        <v>0</v>
      </c>
      <c r="D33" s="246">
        <f>Julio!E111</f>
        <v>0</v>
      </c>
      <c r="E33" s="320">
        <f>Julio!C44</f>
        <v>0</v>
      </c>
      <c r="F33" s="311"/>
      <c r="G33" s="170"/>
    </row>
    <row r="34" spans="2:7" ht="12.75">
      <c r="B34" s="308" t="s">
        <v>75</v>
      </c>
      <c r="C34" s="319">
        <f>Agosto!C52+Agosto!D54</f>
        <v>0</v>
      </c>
      <c r="D34" s="246">
        <f>Agosto!E111</f>
        <v>0</v>
      </c>
      <c r="E34" s="320">
        <f>Agosto!C44</f>
        <v>0</v>
      </c>
      <c r="F34" s="311"/>
      <c r="G34" s="170"/>
    </row>
    <row r="35" spans="2:7" ht="12.75">
      <c r="B35" s="308" t="s">
        <v>122</v>
      </c>
      <c r="C35" s="319">
        <f>Setiembre!C52+Setiembre!D54</f>
        <v>0</v>
      </c>
      <c r="D35" s="246">
        <f>Setiembre!E111</f>
        <v>0</v>
      </c>
      <c r="E35" s="320">
        <f>Setiembre!C44</f>
        <v>0</v>
      </c>
      <c r="F35" s="311"/>
      <c r="G35" s="170"/>
    </row>
    <row r="36" spans="2:7" ht="12.75">
      <c r="B36" s="308" t="s">
        <v>76</v>
      </c>
      <c r="C36" s="319">
        <f>Octubre!C52+Octubre!D54</f>
        <v>0</v>
      </c>
      <c r="D36" s="246">
        <f>Octubre!E111</f>
        <v>0</v>
      </c>
      <c r="E36" s="320">
        <f>Octubre!C44</f>
        <v>0</v>
      </c>
      <c r="F36" s="311"/>
      <c r="G36" s="170"/>
    </row>
    <row r="37" spans="2:7" ht="12.75">
      <c r="B37" s="308" t="s">
        <v>77</v>
      </c>
      <c r="C37" s="319">
        <f>Noviembre!C52+Noviembre!D54</f>
        <v>0</v>
      </c>
      <c r="D37" s="246">
        <f>Noviembre!E111</f>
        <v>0</v>
      </c>
      <c r="E37" s="320">
        <f>Noviembre!C44</f>
        <v>0</v>
      </c>
      <c r="F37" s="311"/>
      <c r="G37" s="170"/>
    </row>
    <row r="38" spans="2:7" ht="13.5" thickBot="1">
      <c r="B38" s="309" t="s">
        <v>78</v>
      </c>
      <c r="C38" s="322">
        <f>Diciembre!C52+Diciembre!D54</f>
        <v>0</v>
      </c>
      <c r="D38" s="247">
        <f>Diciembre!E111</f>
        <v>0</v>
      </c>
      <c r="E38" s="321">
        <f>Diciembre!C44</f>
        <v>0</v>
      </c>
      <c r="F38" s="312"/>
      <c r="G38" s="170"/>
    </row>
    <row r="39" spans="2:7" ht="13.5" hidden="1" thickBot="1">
      <c r="B39" s="166"/>
      <c r="C39" s="248"/>
      <c r="D39" s="248"/>
      <c r="E39" s="120"/>
      <c r="F39" s="120"/>
      <c r="G39" s="305"/>
    </row>
    <row r="40" spans="3:7" ht="13.5" thickBot="1">
      <c r="C40" s="249" t="s">
        <v>81</v>
      </c>
      <c r="D40" s="250" t="s">
        <v>79</v>
      </c>
      <c r="E40" s="251" t="s">
        <v>82</v>
      </c>
      <c r="F40" s="120"/>
      <c r="G40" s="304"/>
    </row>
    <row r="41" spans="2:7" ht="21" thickBot="1">
      <c r="B41" s="213" t="s">
        <v>89</v>
      </c>
      <c r="C41" s="252">
        <f>SUM(C26:C38)</f>
        <v>0</v>
      </c>
      <c r="D41" s="253">
        <f>SUM(D26:D38)</f>
        <v>0</v>
      </c>
      <c r="E41" s="325">
        <f>SUM(E26:E38)</f>
        <v>0</v>
      </c>
      <c r="F41" s="254"/>
      <c r="G41" s="306"/>
    </row>
    <row r="42" spans="2:7" ht="14.25" customHeight="1" thickBot="1">
      <c r="B42" s="22"/>
      <c r="C42" s="323"/>
      <c r="D42" s="323"/>
      <c r="E42" s="323"/>
      <c r="F42" s="254"/>
      <c r="G42" s="306"/>
    </row>
    <row r="43" spans="2:7" ht="21" thickBot="1">
      <c r="B43" s="374" t="s">
        <v>124</v>
      </c>
      <c r="C43" s="375"/>
      <c r="D43" s="375"/>
      <c r="E43" s="376"/>
      <c r="F43" s="254"/>
      <c r="G43" s="324">
        <f>E12</f>
        <v>0</v>
      </c>
    </row>
    <row r="44" spans="1:7" s="334" customFormat="1" ht="13.5" thickBot="1">
      <c r="A44" s="24"/>
      <c r="B44" s="331"/>
      <c r="C44" s="331"/>
      <c r="D44" s="331"/>
      <c r="E44" s="331"/>
      <c r="F44" s="332"/>
      <c r="G44" s="333"/>
    </row>
    <row r="45" spans="2:7" ht="21" thickBot="1">
      <c r="B45" s="377" t="s">
        <v>125</v>
      </c>
      <c r="C45" s="345"/>
      <c r="D45" s="345"/>
      <c r="E45" s="378"/>
      <c r="F45" s="335"/>
      <c r="G45" s="336">
        <f>E41</f>
        <v>0</v>
      </c>
    </row>
    <row r="46" spans="2:7" ht="13.5" thickBot="1">
      <c r="B46" s="185"/>
      <c r="C46" s="185"/>
      <c r="D46" s="185"/>
      <c r="E46" s="185"/>
      <c r="G46" s="185"/>
    </row>
    <row r="47" spans="2:7" ht="19.5" thickBot="1" thickTop="1">
      <c r="B47" s="349" t="s">
        <v>123</v>
      </c>
      <c r="C47" s="350"/>
      <c r="D47" s="350"/>
      <c r="E47" s="350"/>
      <c r="F47" s="350"/>
      <c r="G47" s="351"/>
    </row>
    <row r="48" spans="2:7" ht="24.75" thickBot="1" thickTop="1">
      <c r="B48" s="185"/>
      <c r="C48" s="185"/>
      <c r="D48" s="326">
        <f>E12-E41</f>
        <v>0</v>
      </c>
      <c r="E48" s="185"/>
      <c r="G48" s="185"/>
    </row>
    <row r="49" ht="13.5" thickTop="1"/>
    <row r="50" spans="3:5" ht="13.5" hidden="1" thickBot="1">
      <c r="C50" s="355" t="s">
        <v>84</v>
      </c>
      <c r="D50" s="356"/>
      <c r="E50" s="357"/>
    </row>
    <row r="51" spans="3:5" ht="13.5" hidden="1" thickBot="1">
      <c r="C51" s="212"/>
      <c r="D51" s="255">
        <f>E41-G41</f>
        <v>0</v>
      </c>
      <c r="E51" s="212"/>
    </row>
    <row r="52" spans="3:5" ht="13.5" hidden="1" thickBot="1">
      <c r="C52" s="358" t="s">
        <v>85</v>
      </c>
      <c r="D52" s="359"/>
      <c r="E52" s="360"/>
    </row>
    <row r="53" ht="13.5" hidden="1" thickBot="1">
      <c r="D53" s="256">
        <f>D51/12</f>
        <v>0</v>
      </c>
    </row>
  </sheetData>
  <sheetProtection password="E71E" sheet="1" objects="1" scenarios="1"/>
  <mergeCells count="12">
    <mergeCell ref="C52:E52"/>
    <mergeCell ref="B3:E3"/>
    <mergeCell ref="C11:D11"/>
    <mergeCell ref="B12:D12"/>
    <mergeCell ref="B14:D14"/>
    <mergeCell ref="C23:D23"/>
    <mergeCell ref="B43:E43"/>
    <mergeCell ref="B45:E45"/>
    <mergeCell ref="B1:G1"/>
    <mergeCell ref="B47:G47"/>
    <mergeCell ref="C16:E16"/>
    <mergeCell ref="C50:E50"/>
  </mergeCells>
  <printOptions/>
  <pageMargins left="0.75" right="0.75" top="1" bottom="1"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G131"/>
  <sheetViews>
    <sheetView workbookViewId="0" topLeftCell="B3">
      <selection activeCell="C20" sqref="C20"/>
    </sheetView>
  </sheetViews>
  <sheetFormatPr defaultColWidth="11.421875" defaultRowHeight="12.75"/>
  <cols>
    <col min="1" max="1" width="17.140625" style="0" hidden="1" customWidth="1"/>
    <col min="2" max="2" width="18.140625" style="0" customWidth="1"/>
    <col min="3" max="3" width="15.57421875" style="0" customWidth="1"/>
    <col min="4" max="4" width="17.421875" style="0" customWidth="1"/>
    <col min="5" max="5" width="19.57421875" style="0" customWidth="1"/>
    <col min="6" max="6" width="13.00390625" style="0" customWidth="1"/>
    <col min="7" max="7" width="18.8515625" style="0" customWidth="1"/>
  </cols>
  <sheetData>
    <row r="1" ht="12.75" hidden="1"/>
    <row r="2" ht="13.5" hidden="1" thickBot="1"/>
    <row r="3" spans="3:5" ht="27" thickBot="1" thickTop="1">
      <c r="C3" s="478" t="s">
        <v>27</v>
      </c>
      <c r="D3" s="479"/>
      <c r="E3" s="480"/>
    </row>
    <row r="4" spans="2:7" ht="21.75" thickBot="1" thickTop="1">
      <c r="B4" s="481" t="s">
        <v>33</v>
      </c>
      <c r="C4" s="482"/>
      <c r="D4" s="482"/>
      <c r="E4" s="482"/>
      <c r="F4" s="483"/>
      <c r="G4" s="273"/>
    </row>
    <row r="5" spans="2:7" ht="24" hidden="1" thickBot="1" thickTop="1">
      <c r="B5" s="11"/>
      <c r="C5" s="11"/>
      <c r="D5" s="11"/>
      <c r="E5" s="23"/>
      <c r="F5" s="11"/>
      <c r="G5" s="274"/>
    </row>
    <row r="6" spans="2:7" ht="30" customHeight="1" thickBot="1" thickTop="1">
      <c r="B6" s="484" t="s">
        <v>102</v>
      </c>
      <c r="C6" s="485"/>
      <c r="D6" s="485"/>
      <c r="E6" s="485"/>
      <c r="F6" s="486"/>
      <c r="G6" s="275"/>
    </row>
    <row r="7" spans="2:7" ht="30" customHeight="1" thickBot="1">
      <c r="B7" s="487" t="s">
        <v>103</v>
      </c>
      <c r="C7" s="488"/>
      <c r="D7" s="488"/>
      <c r="E7" s="488"/>
      <c r="F7" s="489"/>
      <c r="G7" s="276"/>
    </row>
    <row r="8" spans="2:7" ht="30" customHeight="1" thickBot="1" thickTop="1">
      <c r="B8" s="466" t="s">
        <v>57</v>
      </c>
      <c r="C8" s="467"/>
      <c r="D8" s="467"/>
      <c r="E8" s="467"/>
      <c r="F8" s="468"/>
      <c r="G8" s="162"/>
    </row>
    <row r="9" spans="1:7" ht="21.75" thickBot="1" thickTop="1">
      <c r="A9" s="293">
        <f>D9+E9+G9</f>
        <v>0</v>
      </c>
      <c r="B9" s="48"/>
      <c r="C9" s="48"/>
      <c r="D9" s="151"/>
      <c r="E9" s="152"/>
      <c r="F9" s="48"/>
      <c r="G9" s="153"/>
    </row>
    <row r="10" spans="2:7" ht="21.75" hidden="1" thickBot="1">
      <c r="B10" s="144"/>
      <c r="C10" s="48"/>
      <c r="D10" s="48"/>
      <c r="E10" s="48"/>
      <c r="F10" s="48"/>
      <c r="G10" s="12"/>
    </row>
    <row r="11" spans="2:7" ht="30" customHeight="1" thickBot="1" thickTop="1">
      <c r="B11" s="469" t="s">
        <v>63</v>
      </c>
      <c r="C11" s="470"/>
      <c r="D11" s="470"/>
      <c r="E11" s="470"/>
      <c r="F11" s="471"/>
      <c r="G11" s="162"/>
    </row>
    <row r="12" spans="1:7" ht="21.75" thickBot="1" thickTop="1">
      <c r="A12" s="293">
        <f>B12+C12+D12+E12+F12+G12</f>
        <v>0</v>
      </c>
      <c r="B12" s="141"/>
      <c r="C12" s="140"/>
      <c r="D12" s="141"/>
      <c r="E12" s="140"/>
      <c r="F12" s="142"/>
      <c r="G12" s="131"/>
    </row>
    <row r="13" spans="2:7" ht="26.25" thickBot="1">
      <c r="B13" s="472" t="s">
        <v>27</v>
      </c>
      <c r="C13" s="473"/>
      <c r="D13" s="473"/>
      <c r="E13" s="473"/>
      <c r="F13" s="474"/>
      <c r="G13" s="162"/>
    </row>
    <row r="14" spans="2:7" ht="21.75" thickBot="1" thickTop="1">
      <c r="B14" s="475" t="s">
        <v>60</v>
      </c>
      <c r="C14" s="476"/>
      <c r="D14" s="476"/>
      <c r="E14" s="476"/>
      <c r="F14" s="477"/>
      <c r="G14" s="127"/>
    </row>
    <row r="15" spans="2:7" ht="21.75" hidden="1" thickBot="1" thickTop="1">
      <c r="B15" s="145"/>
      <c r="C15" s="277"/>
      <c r="D15" s="277"/>
      <c r="E15" s="277"/>
      <c r="F15" s="277"/>
      <c r="G15" s="128"/>
    </row>
    <row r="16" spans="2:7" ht="30" customHeight="1" thickBot="1" thickTop="1">
      <c r="B16" s="460" t="s">
        <v>61</v>
      </c>
      <c r="C16" s="461"/>
      <c r="D16" s="461"/>
      <c r="E16" s="461"/>
      <c r="F16" s="462"/>
      <c r="G16" s="173"/>
    </row>
    <row r="17" spans="2:7" ht="21.75" hidden="1" thickBot="1" thickTop="1">
      <c r="B17" s="150"/>
      <c r="C17" s="150"/>
      <c r="D17" s="150"/>
      <c r="E17" s="150"/>
      <c r="F17" s="150"/>
      <c r="G17" s="129"/>
    </row>
    <row r="18" spans="2:7" ht="27" thickBot="1" thickTop="1">
      <c r="B18" s="453" t="s">
        <v>27</v>
      </c>
      <c r="C18" s="454"/>
      <c r="D18" s="454"/>
      <c r="E18" s="454"/>
      <c r="F18" s="455"/>
      <c r="G18" s="162"/>
    </row>
    <row r="19" spans="2:7" ht="18" thickBot="1" thickTop="1">
      <c r="B19" s="463" t="s">
        <v>43</v>
      </c>
      <c r="C19" s="464"/>
      <c r="D19" s="464"/>
      <c r="E19" s="464"/>
      <c r="F19" s="465"/>
      <c r="G19" s="163"/>
    </row>
    <row r="20" spans="2:7" ht="28.5" thickBot="1" thickTop="1">
      <c r="B20" s="174" t="s">
        <v>32</v>
      </c>
      <c r="C20" s="175"/>
      <c r="D20" s="26"/>
      <c r="E20" s="177" t="s">
        <v>34</v>
      </c>
      <c r="F20" s="175"/>
      <c r="G20" s="162"/>
    </row>
    <row r="21" spans="2:7" ht="24" thickBot="1" thickTop="1">
      <c r="B21" s="176" t="s">
        <v>55</v>
      </c>
      <c r="C21" s="175"/>
      <c r="D21" s="26"/>
      <c r="E21" s="178" t="s">
        <v>56</v>
      </c>
      <c r="F21" s="175"/>
      <c r="G21" s="162"/>
    </row>
    <row r="22" spans="2:7" ht="21.75" hidden="1" thickBot="1">
      <c r="B22" s="26"/>
      <c r="C22" s="26"/>
      <c r="D22" s="26"/>
      <c r="E22" s="25"/>
      <c r="F22" s="25"/>
      <c r="G22" s="162"/>
    </row>
    <row r="23" spans="2:7" ht="27" hidden="1" thickBot="1" thickTop="1">
      <c r="B23" s="26"/>
      <c r="C23" s="453" t="s">
        <v>28</v>
      </c>
      <c r="D23" s="454"/>
      <c r="E23" s="455"/>
      <c r="F23" s="25"/>
      <c r="G23" s="162"/>
    </row>
    <row r="24" spans="2:7" ht="18" hidden="1" thickBot="1" thickTop="1">
      <c r="B24" s="450" t="s">
        <v>58</v>
      </c>
      <c r="C24" s="451"/>
      <c r="D24" s="451"/>
      <c r="E24" s="451"/>
      <c r="F24" s="451"/>
      <c r="G24" s="452"/>
    </row>
    <row r="25" spans="1:7" ht="22.5" hidden="1" thickBot="1" thickTop="1">
      <c r="A25" s="294">
        <f>D25+E25+G25</f>
        <v>0</v>
      </c>
      <c r="B25" s="19"/>
      <c r="C25" s="19"/>
      <c r="D25" s="146"/>
      <c r="E25" s="147"/>
      <c r="F25" s="19"/>
      <c r="G25" s="147"/>
    </row>
    <row r="26" spans="2:7" ht="25.5" hidden="1" thickBot="1">
      <c r="B26" s="19"/>
      <c r="C26" s="19"/>
      <c r="D26" s="19"/>
      <c r="E26" s="19"/>
      <c r="F26" s="19"/>
      <c r="G26" s="278"/>
    </row>
    <row r="27" spans="2:7" ht="27" hidden="1" thickBot="1" thickTop="1">
      <c r="B27" s="19"/>
      <c r="C27" s="453" t="s">
        <v>29</v>
      </c>
      <c r="D27" s="454"/>
      <c r="E27" s="455"/>
      <c r="F27" s="19"/>
      <c r="G27" s="161"/>
    </row>
    <row r="28" spans="2:7" ht="18" hidden="1" thickBot="1" thickTop="1">
      <c r="B28" s="450" t="s">
        <v>59</v>
      </c>
      <c r="C28" s="451"/>
      <c r="D28" s="451"/>
      <c r="E28" s="451"/>
      <c r="F28" s="451"/>
      <c r="G28" s="452"/>
    </row>
    <row r="29" spans="1:7" ht="22.5" hidden="1" thickBot="1" thickTop="1">
      <c r="A29" s="294">
        <f>D29+E29+G29</f>
        <v>0</v>
      </c>
      <c r="B29" s="19"/>
      <c r="C29" s="19"/>
      <c r="D29" s="148"/>
      <c r="E29" s="148"/>
      <c r="F29" s="139"/>
      <c r="G29" s="148"/>
    </row>
    <row r="30" spans="2:7" ht="17.25" hidden="1" thickBot="1">
      <c r="B30" s="25"/>
      <c r="C30" s="25"/>
      <c r="D30" s="25"/>
      <c r="E30" s="25"/>
      <c r="F30" s="24"/>
      <c r="G30" s="24"/>
    </row>
    <row r="31" spans="2:7" ht="24.75" thickBot="1" thickTop="1">
      <c r="B31" s="456" t="s">
        <v>104</v>
      </c>
      <c r="C31" s="457"/>
      <c r="D31" s="457"/>
      <c r="E31" s="458"/>
      <c r="F31" s="459"/>
      <c r="G31" s="459"/>
    </row>
    <row r="32" spans="2:7" ht="17.25" thickBot="1" thickTop="1">
      <c r="B32" s="154" t="s">
        <v>5</v>
      </c>
      <c r="C32" s="154" t="s">
        <v>8</v>
      </c>
      <c r="D32" s="155" t="s">
        <v>9</v>
      </c>
      <c r="E32" s="154" t="s">
        <v>88</v>
      </c>
      <c r="F32" s="51"/>
      <c r="G32" s="130" t="s">
        <v>5</v>
      </c>
    </row>
    <row r="33" spans="1:7" ht="16.5" thickBot="1">
      <c r="A33">
        <f>G33</f>
        <v>13608</v>
      </c>
      <c r="B33" s="60" t="s">
        <v>105</v>
      </c>
      <c r="C33" s="61">
        <f>G33</f>
        <v>13608</v>
      </c>
      <c r="D33" s="62">
        <v>0</v>
      </c>
      <c r="E33" s="63">
        <f aca="true" t="shared" si="0" ref="E33:E38">C33*D33</f>
        <v>0</v>
      </c>
      <c r="G33" s="55">
        <f>7*Parámetros!E32</f>
        <v>13608</v>
      </c>
    </row>
    <row r="34" spans="1:7" ht="16.5" thickBot="1">
      <c r="A34">
        <f>IF(C52&gt;=G34,G34-G33,C52-G33)</f>
        <v>-13608</v>
      </c>
      <c r="B34" s="64" t="s">
        <v>106</v>
      </c>
      <c r="C34" s="65">
        <f>IF(A34&lt;=0,0,A34)</f>
        <v>0</v>
      </c>
      <c r="D34" s="66">
        <v>0.1</v>
      </c>
      <c r="E34" s="67">
        <f t="shared" si="0"/>
        <v>0</v>
      </c>
      <c r="G34" s="56">
        <f>10*Parámetros!E32</f>
        <v>19440</v>
      </c>
    </row>
    <row r="35" spans="1:7" ht="16.5" thickBot="1">
      <c r="A35">
        <f>IF(C52&gt;=G35,G35-G34,C52-G34)</f>
        <v>-19440</v>
      </c>
      <c r="B35" s="68" t="s">
        <v>3</v>
      </c>
      <c r="C35" s="69">
        <f>IF(A35&lt;=0,0,A35)</f>
        <v>0</v>
      </c>
      <c r="D35" s="70">
        <v>0.15</v>
      </c>
      <c r="E35" s="71">
        <f t="shared" si="0"/>
        <v>0</v>
      </c>
      <c r="G35" s="57">
        <f>15*Parámetros!E32</f>
        <v>29160</v>
      </c>
    </row>
    <row r="36" spans="1:7" ht="16.5" thickBot="1">
      <c r="A36">
        <f>IF(C52&gt;=G36,G36-G35,C52-G35)</f>
        <v>-29160</v>
      </c>
      <c r="B36" s="72" t="s">
        <v>13</v>
      </c>
      <c r="C36" s="73">
        <f>IF(A36&lt;=0,0,A36)</f>
        <v>0</v>
      </c>
      <c r="D36" s="74">
        <v>0.2</v>
      </c>
      <c r="E36" s="75">
        <f t="shared" si="0"/>
        <v>0</v>
      </c>
      <c r="G36" s="58">
        <f>50*Parámetros!E32</f>
        <v>97200</v>
      </c>
    </row>
    <row r="37" spans="1:7" ht="16.5" thickBot="1">
      <c r="A37">
        <f>IF(C52&gt;=G37,G37-G36,C52-G36)</f>
        <v>-97200</v>
      </c>
      <c r="B37" s="76" t="s">
        <v>14</v>
      </c>
      <c r="C37" s="77">
        <f>IF(A37&lt;=0,0,A37)</f>
        <v>0</v>
      </c>
      <c r="D37" s="78">
        <v>0.22</v>
      </c>
      <c r="E37" s="79">
        <f t="shared" si="0"/>
        <v>0</v>
      </c>
      <c r="G37" s="59">
        <f>100*Parámetros!E32</f>
        <v>194400</v>
      </c>
    </row>
    <row r="38" spans="1:5" ht="16.5" thickBot="1">
      <c r="A38">
        <f>IF(C52&gt;G37,C52-G37,0)</f>
        <v>0</v>
      </c>
      <c r="B38" s="80" t="s">
        <v>15</v>
      </c>
      <c r="C38" s="279">
        <f>IF(A38&lt;=0,0,A38)</f>
        <v>0</v>
      </c>
      <c r="D38" s="280">
        <v>0.25</v>
      </c>
      <c r="E38" s="149">
        <f t="shared" si="0"/>
        <v>0</v>
      </c>
    </row>
    <row r="39" spans="3:7" ht="21.75" thickBot="1" thickTop="1">
      <c r="C39" s="442" t="s">
        <v>40</v>
      </c>
      <c r="D39" s="443"/>
      <c r="E39" s="281">
        <f>SUM(E34:E38)</f>
        <v>0</v>
      </c>
      <c r="F39" s="444"/>
      <c r="G39" s="444"/>
    </row>
    <row r="40" spans="3:7" ht="23.25" hidden="1" thickBot="1" thickTop="1">
      <c r="C40" s="283"/>
      <c r="D40" s="283"/>
      <c r="E40" s="284"/>
      <c r="F40" s="282"/>
      <c r="G40" s="282"/>
    </row>
    <row r="41" spans="2:7" ht="34.5" thickBot="1" thickTop="1">
      <c r="B41" s="445" t="s">
        <v>107</v>
      </c>
      <c r="C41" s="446"/>
      <c r="D41" s="446"/>
      <c r="E41" s="447"/>
      <c r="F41" s="448">
        <f>C51</f>
        <v>0</v>
      </c>
      <c r="G41" s="449"/>
    </row>
    <row r="42" spans="2:7" ht="21.75" hidden="1">
      <c r="B42" s="285"/>
      <c r="C42" s="286" t="s">
        <v>108</v>
      </c>
      <c r="D42" s="286"/>
      <c r="E42" s="287"/>
      <c r="F42" s="288"/>
      <c r="G42" s="288"/>
    </row>
    <row r="43" spans="3:7" ht="22.5" hidden="1" thickBot="1">
      <c r="C43" s="283"/>
      <c r="D43" s="283"/>
      <c r="E43" s="284"/>
      <c r="F43" s="282"/>
      <c r="G43" s="282"/>
    </row>
    <row r="44" spans="2:7" ht="39" thickBot="1" thickTop="1">
      <c r="B44" s="289" t="s">
        <v>104</v>
      </c>
      <c r="C44" s="433">
        <f>IF(E39-C119&lt;0,0,E39-C119)</f>
        <v>0</v>
      </c>
      <c r="D44" s="434"/>
      <c r="E44" s="290" t="s">
        <v>109</v>
      </c>
      <c r="F44" s="435">
        <f>C50</f>
        <v>0</v>
      </c>
      <c r="G44" s="436"/>
    </row>
    <row r="45" spans="6:7" ht="19.5" hidden="1" thickBot="1" thickTop="1">
      <c r="F45" s="27"/>
      <c r="G45" s="22"/>
    </row>
    <row r="46" spans="2:7" ht="42.75" hidden="1" thickBot="1" thickTop="1">
      <c r="B46" s="437" t="s">
        <v>30</v>
      </c>
      <c r="C46" s="438"/>
      <c r="D46" s="438"/>
      <c r="E46" s="439"/>
      <c r="F46" s="440" t="e">
        <f>E44-C55</f>
        <v>#VALUE!</v>
      </c>
      <c r="G46" s="441"/>
    </row>
    <row r="47" spans="3:7" ht="14.25" hidden="1" thickBot="1" thickTop="1">
      <c r="C47" s="1"/>
      <c r="G47" s="3"/>
    </row>
    <row r="48" spans="2:3" ht="16.5" hidden="1" thickBot="1">
      <c r="B48" s="41" t="s">
        <v>37</v>
      </c>
      <c r="C48" s="42">
        <f>IF(A12&gt;0,A12*0.125%,0)</f>
        <v>0</v>
      </c>
    </row>
    <row r="49" spans="2:6" ht="16.5" hidden="1" thickBot="1">
      <c r="B49" s="38" t="s">
        <v>120</v>
      </c>
      <c r="C49" s="40">
        <f>IF(A9&lt;=0,A12,A12+A9)</f>
        <v>0</v>
      </c>
      <c r="E49" s="428" t="s">
        <v>7</v>
      </c>
      <c r="F49" s="429"/>
    </row>
    <row r="50" spans="2:7" ht="16.5" hidden="1" thickBot="1">
      <c r="B50" s="39" t="s">
        <v>109</v>
      </c>
      <c r="C50" s="43">
        <f>IF(C49&lt;=G55,C49*3%,IF(G6&gt;0,C49*6%,C49*4.5%))</f>
        <v>0</v>
      </c>
      <c r="D50" s="172" t="s">
        <v>62</v>
      </c>
      <c r="E50" s="6">
        <v>0</v>
      </c>
      <c r="F50" s="20">
        <f>3*F55</f>
        <v>5832</v>
      </c>
      <c r="G50" s="168">
        <f>(F50+2)*1.02</f>
        <v>5950.68</v>
      </c>
    </row>
    <row r="51" spans="2:7" ht="16.5" hidden="1" thickBot="1">
      <c r="B51" s="96" t="s">
        <v>0</v>
      </c>
      <c r="C51" s="97">
        <f>E94</f>
        <v>0</v>
      </c>
      <c r="D51" s="42">
        <f>C51+C50+C48</f>
        <v>0</v>
      </c>
      <c r="E51" s="7">
        <v>0.02</v>
      </c>
      <c r="F51" s="21">
        <f>6*F55</f>
        <v>11664</v>
      </c>
      <c r="G51" s="168">
        <f>(F51+35)*1.06</f>
        <v>12400.94</v>
      </c>
    </row>
    <row r="52" spans="2:7" ht="16.5" hidden="1" thickBot="1">
      <c r="B52" s="90" t="s">
        <v>121</v>
      </c>
      <c r="C52" s="91">
        <f>G4</f>
        <v>0</v>
      </c>
      <c r="E52" s="8">
        <v>0.06</v>
      </c>
      <c r="F52" s="171">
        <f>(F55*6)+1</f>
        <v>11665</v>
      </c>
      <c r="G52" s="168">
        <f>(F51+4)*1.02</f>
        <v>11901.36</v>
      </c>
    </row>
    <row r="53" spans="2:7" ht="16.5" hidden="1" thickBot="1">
      <c r="B53" s="92" t="s">
        <v>41</v>
      </c>
      <c r="C53" s="93">
        <f>A25</f>
        <v>0</v>
      </c>
      <c r="E53" s="169"/>
      <c r="F53" s="170"/>
      <c r="G53" s="1"/>
    </row>
    <row r="54" spans="2:7" ht="16.5" hidden="1" thickBot="1">
      <c r="B54" s="94" t="s">
        <v>42</v>
      </c>
      <c r="C54" s="95">
        <f>A29</f>
        <v>0</v>
      </c>
      <c r="D54" s="291">
        <f>C53+C54</f>
        <v>0</v>
      </c>
      <c r="F54" s="2"/>
      <c r="G54" s="291" t="s">
        <v>110</v>
      </c>
    </row>
    <row r="55" spans="2:7" ht="21" hidden="1" thickBot="1">
      <c r="B55" s="98" t="s">
        <v>36</v>
      </c>
      <c r="C55" s="99" t="e">
        <f>#REF!+F44</f>
        <v>#REF!</v>
      </c>
      <c r="E55" s="35" t="s">
        <v>4</v>
      </c>
      <c r="F55" s="89">
        <f>Parámetros!E32</f>
        <v>1944</v>
      </c>
      <c r="G55" s="292">
        <f>2.5*F55</f>
        <v>4860</v>
      </c>
    </row>
    <row r="56" spans="2:3" ht="18.75" hidden="1" thickBot="1">
      <c r="B56" s="158" t="s">
        <v>54</v>
      </c>
      <c r="C56" s="159">
        <f>C48+C50+C51</f>
        <v>0</v>
      </c>
    </row>
    <row r="57" ht="13.5" hidden="1" thickBot="1"/>
    <row r="58" spans="2:5" ht="18.75" hidden="1" thickBot="1">
      <c r="B58" s="374" t="s">
        <v>12</v>
      </c>
      <c r="C58" s="375"/>
      <c r="D58" s="375"/>
      <c r="E58" s="376"/>
    </row>
    <row r="59" spans="2:7" ht="15.75" hidden="1" thickBot="1">
      <c r="B59" s="10" t="s">
        <v>5</v>
      </c>
      <c r="C59" s="9" t="s">
        <v>8</v>
      </c>
      <c r="D59" s="10" t="s">
        <v>9</v>
      </c>
      <c r="E59" s="10" t="s">
        <v>88</v>
      </c>
      <c r="G59" s="165"/>
    </row>
    <row r="60" spans="1:7" ht="12.75" hidden="1">
      <c r="A60">
        <f>G60</f>
        <v>15552</v>
      </c>
      <c r="B60" s="28" t="s">
        <v>111</v>
      </c>
      <c r="C60" s="13">
        <f>'[1]DEDUCCIONES'!D29*5</f>
        <v>0</v>
      </c>
      <c r="D60" s="4">
        <v>0</v>
      </c>
      <c r="E60" s="16">
        <f>C60*D60</f>
        <v>0</v>
      </c>
      <c r="G60" s="298">
        <f>8*Parámetros!E32</f>
        <v>15552</v>
      </c>
    </row>
    <row r="61" spans="1:7" ht="12.75" hidden="1">
      <c r="A61">
        <f>IF(D54&gt;=G61,G60,D54-G60)</f>
        <v>-15552</v>
      </c>
      <c r="B61" s="29" t="s">
        <v>112</v>
      </c>
      <c r="C61" s="14">
        <f>IF(A36&lt;=0,0,A36)</f>
        <v>0</v>
      </c>
      <c r="D61" s="5">
        <v>0.1</v>
      </c>
      <c r="E61" s="17">
        <f>C61*D61</f>
        <v>0</v>
      </c>
      <c r="G61" s="299">
        <f>15*Parámetros!E32</f>
        <v>29160</v>
      </c>
    </row>
    <row r="62" spans="1:7" ht="13.5" hidden="1" thickBot="1">
      <c r="A62">
        <f>IF(D54&gt;=G62,G60,D54-G61)</f>
        <v>-29160</v>
      </c>
      <c r="B62" s="29" t="s">
        <v>16</v>
      </c>
      <c r="C62" s="15">
        <f>IF(A37&lt;=0,0,A37)</f>
        <v>0</v>
      </c>
      <c r="D62" s="5">
        <v>0.15</v>
      </c>
      <c r="E62" s="17">
        <f>C62*D62</f>
        <v>0</v>
      </c>
      <c r="G62" s="300">
        <f>50*Parámetros!E32</f>
        <v>97200</v>
      </c>
    </row>
    <row r="63" spans="1:7" ht="13.5" hidden="1" thickBot="1">
      <c r="A63">
        <f>IF(D54&gt;G62,D54-G62,0)</f>
        <v>0</v>
      </c>
      <c r="B63" s="30" t="s">
        <v>17</v>
      </c>
      <c r="C63" s="31">
        <f>IF(A38&lt;=0,0,A38)</f>
        <v>0</v>
      </c>
      <c r="D63" s="32">
        <v>0.25</v>
      </c>
      <c r="E63" s="33">
        <f>C63*D63</f>
        <v>0</v>
      </c>
      <c r="G63" s="166"/>
    </row>
    <row r="64" spans="3:7" ht="18.75" hidden="1" thickBot="1">
      <c r="C64" s="374" t="s">
        <v>6</v>
      </c>
      <c r="D64" s="376"/>
      <c r="E64" s="18">
        <f>SUM(E61:E62)</f>
        <v>0</v>
      </c>
      <c r="G64" s="166"/>
    </row>
    <row r="65" spans="1:7" ht="12.75" hidden="1">
      <c r="A65" s="295"/>
      <c r="B65" s="295"/>
      <c r="C65" s="27"/>
      <c r="D65" s="27"/>
      <c r="E65" s="296"/>
      <c r="F65" s="295"/>
      <c r="G65" s="297"/>
    </row>
    <row r="66" spans="1:7" ht="12.75" hidden="1">
      <c r="A66" s="295"/>
      <c r="B66" s="295"/>
      <c r="C66" s="27"/>
      <c r="D66" s="27"/>
      <c r="E66" s="296"/>
      <c r="F66" s="295"/>
      <c r="G66" s="297"/>
    </row>
    <row r="67" ht="12.75" hidden="1">
      <c r="G67" s="27"/>
    </row>
    <row r="68" ht="12.75" hidden="1">
      <c r="G68" s="27"/>
    </row>
    <row r="69" ht="13.5" hidden="1" thickBot="1">
      <c r="G69" s="166"/>
    </row>
    <row r="70" spans="2:7" ht="16.5" hidden="1" thickBot="1">
      <c r="B70" s="135" t="s">
        <v>44</v>
      </c>
      <c r="C70" s="136"/>
      <c r="D70" s="137"/>
      <c r="G70" s="167"/>
    </row>
    <row r="71" ht="13.5" hidden="1" thickBot="1">
      <c r="C71" s="132"/>
    </row>
    <row r="72" spans="3:7" ht="13.5" hidden="1" thickBot="1">
      <c r="C72" s="264">
        <f>IF(B12&gt;G51,B12*6%,(IF(B12&lt;=F50,0,IF(AND(B12&gt;F50,B12&lt;=G50),B12*2%-(F50-(B12-(B12*2%))),IF(AND(B12&gt;F51,B12&lt;=G51),B12*6%-(I51-(B12-(B12*6%))),B12*2%)))))</f>
        <v>0</v>
      </c>
      <c r="E72" s="133" t="s">
        <v>46</v>
      </c>
      <c r="G72" s="164"/>
    </row>
    <row r="73" spans="3:7" ht="16.5" hidden="1" thickBot="1">
      <c r="C73" s="264">
        <f>IF(C12&gt;G51,C12*6%,(IF(C12&lt;=F50,0,IF(AND(C12&gt;F50,C12&lt;=G50),C12*2%-(F50-(C12-(C12*2%))),IF(AND(C12&gt;F51,C12&lt;=G51),C12*6%-(I51-(C12-(C12*6%))),C12*2%)))))</f>
        <v>0</v>
      </c>
      <c r="E73" s="93">
        <f>IF(G25&gt;G52,G25*2%,(IF(G25&lt;=F51,0,G25-F51)))+IF(E25&gt;G52,E25*2%,(IF(E25&lt;=F51,0,E25-F51)))+IF(D25&gt;G52,D25*2%,(IF(D25&lt;=F51,0,D25-F51)))</f>
        <v>0</v>
      </c>
      <c r="G73" s="164"/>
    </row>
    <row r="74" spans="3:7" ht="13.5" hidden="1" thickBot="1">
      <c r="C74" s="264">
        <f>IF(D12&gt;G51,D12*6%,(IF(D12&lt;=F50,0,IF(AND(D12&gt;F50,D12&lt;=G50),D12*2%-(F50-(D12-(D12*2%))),IF(AND(D12&gt;F51,D12&lt;=G51),D12*6%-(I51-(D12-(D12*6%))),D12*2%)))))</f>
        <v>0</v>
      </c>
      <c r="G74" s="164"/>
    </row>
    <row r="75" spans="3:5" ht="13.5" hidden="1" thickBot="1">
      <c r="C75" s="264">
        <f>IF(E12&gt;G51,E12*6%,(IF(E12&lt;=F50,0,IF(AND(E12&gt;F50,E12&lt;=G50),E12*2%-(F50-(E12-(E12*2%))),IF(AND(E12&gt;F51,E12&lt;=G51),E12*6%-(I51-(E12-(E12*6%))),E12*2%)))))</f>
        <v>0</v>
      </c>
      <c r="E75" s="134" t="s">
        <v>47</v>
      </c>
    </row>
    <row r="76" spans="3:7" ht="16.5" hidden="1" thickBot="1">
      <c r="C76" s="264">
        <f>IF(F12&gt;G51,F12*6%,(IF(F12&lt;=F50,0,IF(AND(F12&gt;F50,F12&lt;=G50),F12*2%-(F50-(F12-(F12*2%))),IF(AND(F12&gt;F51,F12&lt;=G51),F12*6%-(I51-(F12-(F12*6%))),F12*2%)))))</f>
        <v>0</v>
      </c>
      <c r="E76" s="270">
        <f>IF(G29&gt;G52,G29*2%,(IF(G29&lt;=F51,0,G29-F51)))+IF(E29&gt;G52,E29*2%,(IF(E29&lt;=F51,0,E29-F51)))+IF(D29&gt;G52,D29*2%,(IF(D29&lt;=F51,0,D29-F51)))</f>
        <v>0</v>
      </c>
      <c r="G76" s="164"/>
    </row>
    <row r="77" ht="13.5" hidden="1" thickBot="1">
      <c r="C77" s="264">
        <f>IF(G12&gt;G51,G12*6%,(IF(G12&lt;=F50,0,IF(AND(G12&gt;F50,G12&lt;=G50),G12*2%-(F50-(G12-(G12*2%))),IF(AND(G12&gt;F51,G12&lt;=G51),G12*6%-(I51-(G12-(G12*6%))),G12*2%)))))</f>
        <v>0</v>
      </c>
    </row>
    <row r="78" spans="2:3" ht="18.75" hidden="1" thickBot="1">
      <c r="B78" s="138" t="s">
        <v>45</v>
      </c>
      <c r="C78" s="265">
        <f>SUM(C72:C77)</f>
        <v>0</v>
      </c>
    </row>
    <row r="79" ht="13.5" hidden="1" thickBot="1"/>
    <row r="80" spans="2:4" ht="16.5" hidden="1" thickBot="1">
      <c r="B80" s="430" t="s">
        <v>48</v>
      </c>
      <c r="C80" s="431"/>
      <c r="D80" s="432"/>
    </row>
    <row r="81" ht="12.75" hidden="1">
      <c r="C81" s="266">
        <f>IF(G9&gt;G51,G9*6%,(IF(G9&lt;=F50,0,IF(AND(G9&gt;F50,G9&lt;=G50),G9*2%-(F50-(G9-(G9*2%))),IF(AND(G9&gt;F51,G9&lt;=G51),G9*6%-(I51-(G9-(G9*6%))),G9*2%)))))</f>
        <v>0</v>
      </c>
    </row>
    <row r="82" ht="12.75" hidden="1">
      <c r="C82" s="267">
        <f>IF(E9&gt;G51,E9*6%,(IF(E9&lt;=F50,0,IF(AND(E9&gt;F50,E9&lt;=G50),E9*2%-(F50-(E9-(E9*2%))),IF(AND(E9&gt;F51,E9&lt;=G51),E9*6%-(I51-(E9-(E9*6%))),E9*2%)))))</f>
        <v>0</v>
      </c>
    </row>
    <row r="83" ht="13.5" hidden="1" thickBot="1">
      <c r="C83" s="268">
        <f>IF(D9&gt;G51,D9*6%,(IF(D9&lt;=F50,0,IF(AND(D9&gt;F50,D9&lt;=G50),D9*2%-(F50-(D9-(D9*2%))),IF(AND(D9&gt;F51,D9&lt;=G51),D9*6%-(I51-(D9-(D9*6%))),D9*2%)))))</f>
        <v>0</v>
      </c>
    </row>
    <row r="84" spans="2:3" ht="18.75" hidden="1" thickBot="1">
      <c r="B84" s="143" t="s">
        <v>45</v>
      </c>
      <c r="C84" s="269">
        <f>SUM(C81:C83)</f>
        <v>0</v>
      </c>
    </row>
    <row r="85" ht="12.75" hidden="1"/>
    <row r="86" ht="12.75" hidden="1"/>
    <row r="87" ht="12.75" hidden="1"/>
    <row r="88" ht="13.5" hidden="1" thickBot="1"/>
    <row r="89" spans="3:5" ht="13.5" hidden="1" thickBot="1">
      <c r="C89" s="418" t="s">
        <v>49</v>
      </c>
      <c r="D89" s="419"/>
      <c r="E89" s="86">
        <f>Parámetros!E57</f>
        <v>59414</v>
      </c>
    </row>
    <row r="90" ht="13.5" hidden="1" thickBot="1"/>
    <row r="91" spans="4:5" ht="16.5" hidden="1" thickBot="1">
      <c r="D91" s="85" t="s">
        <v>50</v>
      </c>
      <c r="E91" s="156">
        <f>C49*15%</f>
        <v>0</v>
      </c>
    </row>
    <row r="92" spans="4:5" ht="16.5" hidden="1" thickBot="1">
      <c r="D92" s="85" t="s">
        <v>51</v>
      </c>
      <c r="E92" s="156">
        <f>IF(C49&lt;=E89,C49*15%,E89*15%)</f>
        <v>0</v>
      </c>
    </row>
    <row r="93" ht="13.5" hidden="1" thickBot="1">
      <c r="E93" s="1"/>
    </row>
    <row r="94" spans="4:5" ht="18.75" hidden="1" thickBot="1">
      <c r="D94" s="85" t="s">
        <v>53</v>
      </c>
      <c r="E94" s="157">
        <f>IF(G7=1,E92,E91)</f>
        <v>0</v>
      </c>
    </row>
    <row r="95" ht="13.5" hidden="1" thickBot="1"/>
    <row r="96" spans="2:7" ht="27.75" hidden="1" thickBot="1" thickTop="1">
      <c r="B96" s="420" t="s">
        <v>22</v>
      </c>
      <c r="C96" s="421"/>
      <c r="D96" s="421"/>
      <c r="E96" s="421"/>
      <c r="F96" s="421"/>
      <c r="G96" s="184">
        <f>C119</f>
        <v>0</v>
      </c>
    </row>
    <row r="97" ht="13.5" hidden="1" thickBot="1"/>
    <row r="98" spans="2:4" ht="21" hidden="1" thickBot="1">
      <c r="B98" s="397" t="s">
        <v>11</v>
      </c>
      <c r="C98" s="398"/>
      <c r="D98" s="399"/>
    </row>
    <row r="99" spans="2:5" ht="18.75" hidden="1" thickBot="1">
      <c r="B99" s="422" t="s">
        <v>64</v>
      </c>
      <c r="C99" s="423"/>
      <c r="D99" s="424"/>
      <c r="E99" s="215">
        <f>Parámetros!E4</f>
        <v>2106</v>
      </c>
    </row>
    <row r="100" ht="13.5" hidden="1" thickBot="1"/>
    <row r="101" spans="2:4" ht="21" hidden="1" thickBot="1">
      <c r="B101" s="403" t="s">
        <v>11</v>
      </c>
      <c r="C101" s="404"/>
      <c r="D101" s="405"/>
    </row>
    <row r="102" spans="2:5" ht="18.75" hidden="1" thickBot="1">
      <c r="B102" s="425" t="s">
        <v>114</v>
      </c>
      <c r="C102" s="426"/>
      <c r="D102" s="427"/>
      <c r="E102" s="126">
        <f>Parámetros!E9</f>
        <v>4212</v>
      </c>
    </row>
    <row r="103" ht="13.5" hidden="1" thickBot="1"/>
    <row r="104" spans="1:7" ht="16.5" hidden="1" thickBot="1">
      <c r="A104" s="382" t="s">
        <v>23</v>
      </c>
      <c r="B104" s="396"/>
      <c r="C104" s="383"/>
      <c r="E104" s="382" t="s">
        <v>25</v>
      </c>
      <c r="F104" s="396"/>
      <c r="G104" s="383"/>
    </row>
    <row r="105" spans="2:6" ht="18.75" hidden="1" thickBot="1">
      <c r="B105" s="46">
        <f>IF(G5=0,0,(E94+C50+C48+(C20/12)+(F20/12)+C21+F21+(G14*E99)+(G16*E102)))</f>
        <v>0</v>
      </c>
      <c r="E105" s="84">
        <f>IF(A25&gt;E128,A25*1%,A25*3%)</f>
        <v>0</v>
      </c>
      <c r="F105" s="49">
        <f>IF(A25&lt;=0,0,IF(AND(A29&lt;=0,B105&lt;=0),F108,IF(AND(A29&lt;=0,E105&gt;0),E102+E105,F108)))</f>
        <v>0</v>
      </c>
    </row>
    <row r="106" spans="2:6" ht="18.75" hidden="1" thickBot="1">
      <c r="B106" s="87"/>
      <c r="E106" s="88"/>
      <c r="F106" s="49"/>
    </row>
    <row r="107" ht="13.5" hidden="1" thickBot="1"/>
    <row r="108" spans="1:6" ht="16.5" hidden="1" thickBot="1">
      <c r="A108" s="83"/>
      <c r="C108" s="382" t="s">
        <v>26</v>
      </c>
      <c r="D108" s="383"/>
      <c r="E108" s="85">
        <f>IF(G5&lt;=0,(C20/12)+(F20/12)+C21+F21+G14*E99+G16*E102,0)</f>
        <v>0</v>
      </c>
      <c r="F108" s="86">
        <f>E108+E105+E102</f>
        <v>4212</v>
      </c>
    </row>
    <row r="109" spans="3:4" ht="21" hidden="1" thickBot="1">
      <c r="C109" s="384">
        <f>IF(A29&lt;=0,0,IF(AND(A25&lt;=0,B105&lt;=0),F108,IF(AND(A25&lt;=0,B105&gt;0),F108,0)))</f>
        <v>0</v>
      </c>
      <c r="D109" s="385"/>
    </row>
    <row r="110" spans="3:4" ht="21" hidden="1" thickBot="1">
      <c r="C110" s="36"/>
      <c r="D110" s="36"/>
    </row>
    <row r="111" spans="2:5" ht="24" hidden="1" thickBot="1">
      <c r="B111" s="388" t="s">
        <v>35</v>
      </c>
      <c r="C111" s="389"/>
      <c r="D111" s="390"/>
      <c r="E111" s="47">
        <f>B105</f>
        <v>0</v>
      </c>
    </row>
    <row r="112" ht="13.5" hidden="1" thickBot="1"/>
    <row r="113" spans="2:7" ht="13.5" hidden="1" thickBot="1">
      <c r="B113" s="41" t="s">
        <v>5</v>
      </c>
      <c r="C113" s="52" t="s">
        <v>18</v>
      </c>
      <c r="D113" s="41" t="s">
        <v>9</v>
      </c>
      <c r="E113" s="53" t="s">
        <v>88</v>
      </c>
      <c r="G113" s="54" t="s">
        <v>5</v>
      </c>
    </row>
    <row r="114" spans="1:7" ht="15" hidden="1">
      <c r="A114" s="37">
        <f>IF(E111&lt;=G114,E111,G114)</f>
        <v>0</v>
      </c>
      <c r="B114" s="100" t="s">
        <v>115</v>
      </c>
      <c r="C114" s="101">
        <f>IF(A114&lt;=0,0,A114)</f>
        <v>0</v>
      </c>
      <c r="D114" s="102">
        <v>0.1</v>
      </c>
      <c r="E114" s="103">
        <f>C114*D114</f>
        <v>0</v>
      </c>
      <c r="G114" s="122">
        <f>3*Parámetros!E32</f>
        <v>5832</v>
      </c>
    </row>
    <row r="115" spans="1:7" ht="15" hidden="1">
      <c r="A115" s="37">
        <f>IF(E111&gt;=G115,G115-G114,E111-G114)</f>
        <v>-5832</v>
      </c>
      <c r="B115" s="104" t="s">
        <v>116</v>
      </c>
      <c r="C115" s="105">
        <f>IF(A115&lt;=0,0,A115)</f>
        <v>0</v>
      </c>
      <c r="D115" s="106">
        <v>0.15</v>
      </c>
      <c r="E115" s="107">
        <f>C115*D115</f>
        <v>0</v>
      </c>
      <c r="G115" s="123">
        <f>8*Parámetros!E32</f>
        <v>15552</v>
      </c>
    </row>
    <row r="116" spans="1:7" ht="15" hidden="1">
      <c r="A116" s="37">
        <f>IF(E111&gt;=G116,G116-G115,E111-G115)</f>
        <v>-15552</v>
      </c>
      <c r="B116" s="108" t="s">
        <v>117</v>
      </c>
      <c r="C116" s="109">
        <f>IF(A116&lt;=0,0,A116)</f>
        <v>0</v>
      </c>
      <c r="D116" s="110">
        <v>0.2</v>
      </c>
      <c r="E116" s="111">
        <f>C116*D116</f>
        <v>0</v>
      </c>
      <c r="G116" s="124">
        <f>43*Parámetros!E32</f>
        <v>83592</v>
      </c>
    </row>
    <row r="117" spans="1:7" ht="15.75" hidden="1" thickBot="1">
      <c r="A117" s="37">
        <f>IF(E111&gt;=G117,G117-G116,E111-G116)</f>
        <v>-83592</v>
      </c>
      <c r="B117" s="112" t="s">
        <v>118</v>
      </c>
      <c r="C117" s="113">
        <f>IF(A117&lt;=0,0,A117)</f>
        <v>0</v>
      </c>
      <c r="D117" s="114">
        <v>0.22</v>
      </c>
      <c r="E117" s="115">
        <f>C117*D117</f>
        <v>0</v>
      </c>
      <c r="G117" s="125">
        <f>93*Parámetros!E32</f>
        <v>180792</v>
      </c>
    </row>
    <row r="118" spans="1:5" ht="15.75" hidden="1" thickBot="1">
      <c r="A118" s="37">
        <f>IF(E111&gt;G117,E111-G117,0)</f>
        <v>0</v>
      </c>
      <c r="B118" s="116" t="s">
        <v>119</v>
      </c>
      <c r="C118" s="117">
        <f>IF(A118&lt;=0,0,A118)</f>
        <v>0</v>
      </c>
      <c r="D118" s="182">
        <v>0.25</v>
      </c>
      <c r="E118" s="183">
        <f>C118*D118</f>
        <v>0</v>
      </c>
    </row>
    <row r="119" spans="2:5" ht="27" hidden="1" thickBot="1">
      <c r="B119" s="120"/>
      <c r="C119" s="411">
        <f>SUM(E114:E118)</f>
        <v>0</v>
      </c>
      <c r="D119" s="412"/>
      <c r="E119" s="413"/>
    </row>
    <row r="120" ht="12.75" hidden="1"/>
    <row r="121" ht="13.5" hidden="1" thickBot="1"/>
    <row r="122" spans="4:5" ht="24" hidden="1" thickBot="1">
      <c r="D122" s="34" t="s">
        <v>4</v>
      </c>
      <c r="E122" s="81">
        <f>Parámetros!E32</f>
        <v>1944</v>
      </c>
    </row>
    <row r="123" ht="12.75" hidden="1"/>
    <row r="124" ht="13.5" hidden="1" thickBot="1"/>
    <row r="125" spans="3:5" ht="21" hidden="1" thickBot="1">
      <c r="C125" s="391" t="s">
        <v>39</v>
      </c>
      <c r="D125" s="392"/>
      <c r="E125" s="50">
        <f>3*E122</f>
        <v>5832</v>
      </c>
    </row>
    <row r="126" spans="3:5" ht="16.5" hidden="1" thickBot="1">
      <c r="C126" s="414" t="s">
        <v>24</v>
      </c>
      <c r="D126" s="415"/>
      <c r="E126" s="45">
        <f>3*E122+1</f>
        <v>5833</v>
      </c>
    </row>
    <row r="127" ht="13.5" hidden="1" thickBot="1"/>
    <row r="128" spans="3:5" ht="21" hidden="1" thickBot="1">
      <c r="C128" s="416" t="s">
        <v>31</v>
      </c>
      <c r="D128" s="417"/>
      <c r="E128" s="82">
        <f>Parámetros!E45</f>
        <v>5519.29</v>
      </c>
    </row>
    <row r="129" ht="12.75" hidden="1"/>
    <row r="130" ht="13.5" hidden="1" thickBot="1"/>
    <row r="131" spans="3:5" ht="21.75" hidden="1" thickBot="1" thickTop="1">
      <c r="C131" s="409" t="s">
        <v>52</v>
      </c>
      <c r="D131" s="410"/>
      <c r="E131" s="181">
        <f>Parámetros!E57</f>
        <v>59414</v>
      </c>
    </row>
    <row r="132" ht="12.75" hidden="1"/>
    <row r="133" ht="12.75" hidden="1"/>
    <row r="134" ht="12.75" hidden="1"/>
    <row r="135" ht="13.5" thickTop="1"/>
  </sheetData>
  <sheetProtection password="E71E" sheet="1" objects="1" scenarios="1"/>
  <mergeCells count="45">
    <mergeCell ref="C3:E3"/>
    <mergeCell ref="B4:F4"/>
    <mergeCell ref="B6:F6"/>
    <mergeCell ref="B7:F7"/>
    <mergeCell ref="B8:F8"/>
    <mergeCell ref="B11:F11"/>
    <mergeCell ref="B13:F13"/>
    <mergeCell ref="B14:F14"/>
    <mergeCell ref="B16:F16"/>
    <mergeCell ref="B18:F18"/>
    <mergeCell ref="B19:F19"/>
    <mergeCell ref="C23:E23"/>
    <mergeCell ref="B24:G24"/>
    <mergeCell ref="C27:E27"/>
    <mergeCell ref="B28:G28"/>
    <mergeCell ref="B31:E31"/>
    <mergeCell ref="F31:G31"/>
    <mergeCell ref="C39:D39"/>
    <mergeCell ref="F39:G39"/>
    <mergeCell ref="B41:E41"/>
    <mergeCell ref="F41:G41"/>
    <mergeCell ref="C44:D44"/>
    <mergeCell ref="F44:G44"/>
    <mergeCell ref="B46:E46"/>
    <mergeCell ref="F46:G46"/>
    <mergeCell ref="E49:F49"/>
    <mergeCell ref="B58:E58"/>
    <mergeCell ref="C64:D64"/>
    <mergeCell ref="B80:D80"/>
    <mergeCell ref="C89:D89"/>
    <mergeCell ref="B96:F96"/>
    <mergeCell ref="B98:D98"/>
    <mergeCell ref="B99:D99"/>
    <mergeCell ref="B101:D101"/>
    <mergeCell ref="B102:D102"/>
    <mergeCell ref="A104:C104"/>
    <mergeCell ref="E104:G104"/>
    <mergeCell ref="C108:D108"/>
    <mergeCell ref="C109:D109"/>
    <mergeCell ref="B111:D111"/>
    <mergeCell ref="C119:E119"/>
    <mergeCell ref="C125:D125"/>
    <mergeCell ref="C126:D126"/>
    <mergeCell ref="C128:D128"/>
    <mergeCell ref="C131:D131"/>
  </mergeCells>
  <dataValidations count="26">
    <dataValidation type="whole" allowBlank="1" showInputMessage="1" showErrorMessage="1" errorTitle="Dato no válido" error="Solo podrás ingresar números enteros, sin decimales. Tampoco digites puntos o comas." sqref="G14:G19">
      <formula1>0</formula1>
      <formula2>1E+33</formula2>
    </dataValidation>
    <dataValidation type="whole" allowBlank="1" showInputMessage="1" showErrorMessage="1" sqref="G8">
      <formula1>0</formula1>
      <formula2>1E+33</formula2>
    </dataValidation>
    <dataValidation type="whole" allowBlank="1" showInputMessage="1" showErrorMessage="1" promptTitle="PASIVIDAD" prompt="DIGITA AQUÍ DONDE ESTAS PARADO, EL IMPORTE DE TU PASIVIDAD NOMINAL, SIN DECIMALES Y SIN AGREGAR PUNTOS O COMAS. " sqref="G26">
      <formula1>0</formula1>
      <formula2>1E+37</formula2>
    </dataValidation>
    <dataValidation type="whole" allowBlank="1" showInputMessage="1" showErrorMessage="1" promptTitle="SUELDO" prompt="DIGITÁ AQUÍ DONDE ESTAS POSICIONADO, TU SUELDO NOMINAL O BRUTO SIN RESTARLE NINGUNA PARTIDA, (VER HOJA GUIA TRABAJADOR.&#10;INGRESALO SIN DECIMALES Y SIN AGREGAR PUNTOS O COMAS." errorTitle="Dato no válido" error="Solo podrás ingresar números enteros, sin decimales. Tampoco digites puntos o comas." sqref="G5">
      <formula1>0</formula1>
      <formula2>1E+36</formula2>
    </dataValidation>
    <dataValidation allowBlank="1" showInputMessage="1" showErrorMessage="1" promptTitle="B.P.C." prompt="Ingresar el valor actual de la Base de Prestaciones y Contribuciones, decretada por el Poder Ejecutivo" sqref="F55"/>
    <dataValidation type="whole" allowBlank="1" showInputMessage="1" showErrorMessage="1" promptTitle="PENSION" prompt="DIGITAR EL IMPORTE DE TU PENSIÓN NOMINAL, SIN DECIMALES. TAMPOCO DIGITES PUNTOS O COMAS.&#10;EN CASO DE TENER MAS DE UNA PENSIÓN, INGRESAR UNA POR CELDA.&#10;VER HOJA DE GUIA PENSIÓN." errorTitle="Dato no válido." error="Solo podras ingresar números enteros, sin decimales, puntos o comas" sqref="G29">
      <formula1>0</formula1>
      <formula2>1E+37</formula2>
    </dataValidation>
    <dataValidation type="whole" allowBlank="1" showInputMessage="1" showErrorMessage="1" promptTitle="JUBILACIÓN" prompt="DIGITAR AQUÍ, EL IMPORTE DE TU JUBILACIÓN NOMINAL, SIN DECIMALES Y SIN AGREGAR PUNTOS O COMAS. &#10;EN CASO DE TENER MAS DE UNA JUBILACIÓN, INGRESAR UNA JUBILACIÓN POR CELDA.&#10;VER HOJA DE GUIA JUBILACIÓN." errorTitle="Dato no válido" error="Solo podras ingresar números enteros, sin decimales, puntos o comas." sqref="G25">
      <formula1>0</formula1>
      <formula2>1E+37</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errorTitle="Dato no válido" error="Debes ingresar un número entero, sin decimilas, ni comas ni puntos." sqref="G10">
      <formula1>0</formula1>
      <formula2>1E+33</formula2>
    </dataValidation>
    <dataValidation type="whole" allowBlank="1" showInputMessage="1" showErrorMessage="1" promptTitle="BRUTO SIN PARTIDAS NO GRAVADAS" prompt="Ingresá tu SUELDO NOMINAL restandole al mismo las partidas no gravadas por el B.P.S. Por ejemplo: TICKETS ALIMENTACIÒN, TICKETS TRANSPORTE,  SEGUNDO AGUINALDO y otros, (ver hoja GUIA TRABAJADOR, punto 3). &#10;Ingresá el monto sin decimales, puntos o comas." errorTitle="Dato no válido" error="Debes ingresar un número entero, sin decimilas, ni comas ni puntos." sqref="G12">
      <formula1>0</formula1>
      <formula2>1E+33</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VER HOJA GUIA TRABAJADOR, punto 3). Ingresalo sin decimales, puntos o comas." errorTitle="Dato no válido" error="Debes ingresar un número entero, sin decimilas, ni comas ni puntos." sqref="G9">
      <formula1>0</formula1>
      <formula2>1E+33</formula2>
    </dataValidation>
    <dataValidation type="whole" allowBlank="1" showInputMessage="1" showErrorMessage="1" promptTitle="APORTES a CAJA de PROFESIONALES " prompt="Ingresar el aporte mensual a la CAJA DE JUBILACIONES y PENSIONES DE PROFESIONALES UNIVERSITARIOS." errorTitle="Dato no válido" error="Debe ingresar un número entero." sqref="C21">
      <formula1>1</formula1>
      <formula2>1000000000000000000</formula2>
    </dataValidation>
    <dataValidation type="whole" allowBlank="1" showInputMessage="1" showErrorMessage="1" promptTitle="REINTEGROS CAJA PROFESIONAL" prompt="Ingresar el importe mensual de los REINTEGROS de CAJA DE JUBILACIONES Y PENSIONES DE PROFESIONALES UNIVERSITARIOS." errorTitle="Dato no válido" error="Ingresar un número entero, sin puntos ni comas." sqref="F21">
      <formula1>1</formula1>
      <formula2>10000000000000000000</formula2>
    </dataValidation>
    <dataValidation type="whole" allowBlank="1" showInputMessage="1" showErrorMessage="1" promptTitle="FONDO DE SOLIDARIDAD" prompt="Ingresar la cifra anual que se paga por concepto de Fondo de Solidaridad. En caso de los Técnicos de Administración es la mitad de una B.P.C." errorTitle="Dato no válido" error="Debe ingresar un número entero." sqref="C20">
      <formula1>1</formula1>
      <formula2>1000000000000000000</formula2>
    </dataValidation>
    <dataValidation type="whole" allowBlank="1" showInputMessage="1" showErrorMessage="1" promptTitle="ADICIONAL F.de SOLIDARIDAD" prompt="Ingresar el importe anual por concepto de adicional del FONDO de SOLIDARIDAD" errorTitle="Dato no válido" error="Ingresar un número entero" sqref="F20">
      <formula1>1</formula1>
      <formula2>10000000000000000000</formula2>
    </dataValidation>
    <dataValidation type="whole" allowBlank="1" showInputMessage="1" showErrorMessage="1" promptTitle="MULTIEMPLEO PUBLICO" prompt="Registrar un sueldo por empresa y por celda." errorTitle="Dato no válidoc" error="Debes ingresar un número entero, sin puntos ni comas." sqref="D9:E9">
      <formula1>0</formula1>
      <formula2>1000000000000000000</formula2>
    </dataValidation>
    <dataValidation type="whole" allowBlank="1" showInputMessage="1" showErrorMessage="1" promptTitle="MULTIEMPLEO PRIVADO" prompt="Registrar un sueldo por empresa y por celda." errorTitle="Dato no válido" error="Tienes que ingresar un número entero, sin puntos ni comas." sqref="B12:F12">
      <formula1>0</formula1>
      <formula2>1E+22</formula2>
    </dataValidation>
    <dataValidation type="whole" allowBlank="1" showInputMessage="1" showErrorMessage="1" promptTitle="MULTI-JUBILACIÓN" prompt="Registrar una jubilación por celda." errorTitle="Dato no válido" error="Ingresar un número entero, sin comas ni puntos." sqref="D25:E25">
      <formula1>0</formula1>
      <formula2>1000000000000000000</formula2>
    </dataValidation>
    <dataValidation type="whole" allowBlank="1" showInputMessage="1" showErrorMessage="1" promptTitle="MULTI-PENSIÓN" prompt="Ingresar una pensión por celda" errorTitle="Dato no válido" error="Ingresar un número entero, sin puntos ni comas." sqref="D29:E29">
      <formula1>0</formula1>
      <formula2>10000000000000000</formula2>
    </dataValidation>
    <dataValidation type="whole" allowBlank="1" showInputMessage="1" showErrorMessage="1" promptTitle="REGIMEN NUEVO O DE TRANSICIÓN" prompt="Se debe marcar 1 en caso de NUEVO REGIMEN.&#10;Se debe marcar 2 en caso de REGIMEN de TRANSICIÓN." errorTitle="Dato no válido" error="Solo se puede ingresar el valor 1 o el valor 2" sqref="G7">
      <formula1>1</formula1>
      <formula2>2</formula2>
    </dataValidation>
    <dataValidation type="whole" allowBlank="1" showInputMessage="1" showErrorMessage="1" sqref="F46:G46">
      <formula1>0</formula1>
      <formula2>10000000000000000</formula2>
    </dataValidation>
    <dataValidation type="whole" allowBlank="1" showInputMessage="1" showErrorMessage="1" sqref="G27">
      <formula1>0</formula1>
      <formula2>1E+37</formula2>
    </dataValidation>
    <dataValidation type="whole" allowBlank="1" showInputMessage="1" showErrorMessage="1" promptTitle="SUELDO NOMINAL" prompt="DEBE INGRESAR EL SUELDO NOMINAL SIN RESTAR NINGUNA PARTIDA. (VER GUIA TRABAJADOR)" errorTitle="Dato no válido" error="Debe ingresar un número entero, sin comas ni puntos." sqref="G4">
      <formula1>0</formula1>
      <formula2>1E+23</formula2>
    </dataValidation>
    <dataValidation type="whole" allowBlank="1" showInputMessage="1" showErrorMessage="1" promptTitle="HIJOS MENORES DE 18 AÑOS" prompt="DIGITÁ AQUÍ DONDE ESTAS POSICIONADO, 1 SI TENES HIJOS MENORES DE 18 AÑOS O DISCAPACITADOS DE CUALQUIER EDAD A TU CARGO. DE LO CONTRARIO DIGITAR 0." errorTitle="Dato no válido" error="Solo podrás ingresar 1 o 0." sqref="G6">
      <formula1>0</formula1>
      <formula2>1</formula2>
    </dataValidation>
    <dataValidation type="whole" allowBlank="1" showInputMessage="1" showErrorMessage="1" promptTitle="B.P.C." prompt="Ingresar el valor de la BASE de PRESTACIONES y CONTRIBUCIONES. Ingresar el valor vigente, decretado por el Poder Ejecutivo. Varía en cada ocación de aumento de salarios a los funcionarios públicos." errorTitle="Dato no válido" error="Ingresar una cifra entera, sin decimales ni puntos ni comas." sqref="E122">
      <formula1>0</formula1>
      <formula2>1000000000000</formula2>
    </dataValidation>
    <dataValidation type="decimal" allowBlank="1" showInputMessage="1" showErrorMessage="1" promptTitle="TOPE CUOTA MUTUAL" prompt="Ingresar en esta celda el valor establecido por el Poder Ejecutivo, que hace de tope para poseer el derecho a la cuota mutual, para aquellas personas que se jubilaron como empleados en su última actividad laboral." errorTitle="Dato no válido" error="Debe ingresar un número con hasta dos decimales." sqref="E128">
      <formula1>0</formula1>
      <formula2>10000000000000</formula2>
    </dataValidation>
    <dataValidation allowBlank="1" showInputMessage="1" showErrorMessage="1" promptTitle="TOPE TERCER NIVEL, LEY 16713" prompt="Establecer el valor que fija el Poder Ejecutivo, como tope del aporte personal jubilatorio, para aquellas personas que están dentro del nuevo régimen, (solidaridad intergeneracional y AFAP)" sqref="E131"/>
  </dataValidations>
  <printOptions/>
  <pageMargins left="0.75" right="0.75" top="1" bottom="1" header="0" footer="0"/>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3:G131"/>
  <sheetViews>
    <sheetView workbookViewId="0" topLeftCell="B3">
      <selection activeCell="C20" sqref="C20"/>
    </sheetView>
  </sheetViews>
  <sheetFormatPr defaultColWidth="11.421875" defaultRowHeight="12.75"/>
  <cols>
    <col min="1" max="1" width="17.421875" style="0" hidden="1" customWidth="1"/>
    <col min="2" max="2" width="18.140625" style="0" customWidth="1"/>
    <col min="3" max="3" width="15.57421875" style="0" customWidth="1"/>
    <col min="4" max="4" width="17.421875" style="0" customWidth="1"/>
    <col min="5" max="5" width="19.57421875" style="0" customWidth="1"/>
    <col min="6" max="6" width="13.00390625" style="0" customWidth="1"/>
    <col min="7" max="7" width="18.8515625" style="0" customWidth="1"/>
  </cols>
  <sheetData>
    <row r="1" ht="12.75" hidden="1"/>
    <row r="2" ht="13.5" hidden="1" thickBot="1"/>
    <row r="3" spans="3:5" ht="27" thickBot="1" thickTop="1">
      <c r="C3" s="478" t="s">
        <v>27</v>
      </c>
      <c r="D3" s="479"/>
      <c r="E3" s="480"/>
    </row>
    <row r="4" spans="2:7" ht="21.75" thickBot="1" thickTop="1">
      <c r="B4" s="481" t="s">
        <v>33</v>
      </c>
      <c r="C4" s="482"/>
      <c r="D4" s="482"/>
      <c r="E4" s="482"/>
      <c r="F4" s="483"/>
      <c r="G4" s="273"/>
    </row>
    <row r="5" spans="2:7" ht="24" hidden="1" thickBot="1" thickTop="1">
      <c r="B5" s="11"/>
      <c r="C5" s="11"/>
      <c r="D5" s="11"/>
      <c r="E5" s="23"/>
      <c r="F5" s="11"/>
      <c r="G5" s="274"/>
    </row>
    <row r="6" spans="2:7" ht="30" customHeight="1" thickBot="1" thickTop="1">
      <c r="B6" s="484" t="s">
        <v>102</v>
      </c>
      <c r="C6" s="485"/>
      <c r="D6" s="485"/>
      <c r="E6" s="485"/>
      <c r="F6" s="486"/>
      <c r="G6" s="275"/>
    </row>
    <row r="7" spans="2:7" ht="30" customHeight="1" thickBot="1">
      <c r="B7" s="487" t="s">
        <v>103</v>
      </c>
      <c r="C7" s="488"/>
      <c r="D7" s="488"/>
      <c r="E7" s="488"/>
      <c r="F7" s="489"/>
      <c r="G7" s="276"/>
    </row>
    <row r="8" spans="2:7" ht="30" customHeight="1" thickBot="1" thickTop="1">
      <c r="B8" s="466" t="s">
        <v>57</v>
      </c>
      <c r="C8" s="467"/>
      <c r="D8" s="467"/>
      <c r="E8" s="467"/>
      <c r="F8" s="468"/>
      <c r="G8" s="162"/>
    </row>
    <row r="9" spans="1:7" ht="21.75" thickBot="1" thickTop="1">
      <c r="A9" s="293">
        <f>D9+E9+G9</f>
        <v>0</v>
      </c>
      <c r="B9" s="48"/>
      <c r="C9" s="48"/>
      <c r="D9" s="151"/>
      <c r="E9" s="152"/>
      <c r="F9" s="48"/>
      <c r="G9" s="153"/>
    </row>
    <row r="10" spans="2:7" ht="21.75" hidden="1" thickBot="1">
      <c r="B10" s="144"/>
      <c r="C10" s="48"/>
      <c r="D10" s="48"/>
      <c r="E10" s="48"/>
      <c r="F10" s="48"/>
      <c r="G10" s="12"/>
    </row>
    <row r="11" spans="2:7" ht="30" customHeight="1" thickBot="1" thickTop="1">
      <c r="B11" s="469" t="s">
        <v>63</v>
      </c>
      <c r="C11" s="470"/>
      <c r="D11" s="470"/>
      <c r="E11" s="470"/>
      <c r="F11" s="471"/>
      <c r="G11" s="162"/>
    </row>
    <row r="12" spans="1:7" ht="21.75" thickBot="1" thickTop="1">
      <c r="A12" s="293">
        <f>B12+C12+D12+E12+F12+G12</f>
        <v>0</v>
      </c>
      <c r="B12" s="141"/>
      <c r="C12" s="140"/>
      <c r="D12" s="141"/>
      <c r="E12" s="140"/>
      <c r="F12" s="142"/>
      <c r="G12" s="131"/>
    </row>
    <row r="13" spans="2:7" ht="26.25" thickBot="1">
      <c r="B13" s="472" t="s">
        <v>27</v>
      </c>
      <c r="C13" s="473"/>
      <c r="D13" s="473"/>
      <c r="E13" s="473"/>
      <c r="F13" s="474"/>
      <c r="G13" s="162"/>
    </row>
    <row r="14" spans="2:7" ht="21.75" thickBot="1" thickTop="1">
      <c r="B14" s="475" t="s">
        <v>60</v>
      </c>
      <c r="C14" s="476"/>
      <c r="D14" s="476"/>
      <c r="E14" s="476"/>
      <c r="F14" s="477"/>
      <c r="G14" s="127"/>
    </row>
    <row r="15" spans="2:7" ht="21.75" hidden="1" thickBot="1" thickTop="1">
      <c r="B15" s="145"/>
      <c r="C15" s="277"/>
      <c r="D15" s="277"/>
      <c r="E15" s="277"/>
      <c r="F15" s="277"/>
      <c r="G15" s="128"/>
    </row>
    <row r="16" spans="2:7" ht="30" customHeight="1" thickBot="1" thickTop="1">
      <c r="B16" s="460" t="s">
        <v>61</v>
      </c>
      <c r="C16" s="461"/>
      <c r="D16" s="461"/>
      <c r="E16" s="461"/>
      <c r="F16" s="462"/>
      <c r="G16" s="173"/>
    </row>
    <row r="17" spans="2:7" ht="21.75" hidden="1" thickBot="1" thickTop="1">
      <c r="B17" s="150"/>
      <c r="C17" s="150"/>
      <c r="D17" s="150"/>
      <c r="E17" s="150"/>
      <c r="F17" s="150"/>
      <c r="G17" s="129"/>
    </row>
    <row r="18" spans="2:7" ht="27" thickBot="1" thickTop="1">
      <c r="B18" s="453" t="s">
        <v>27</v>
      </c>
      <c r="C18" s="454"/>
      <c r="D18" s="454"/>
      <c r="E18" s="454"/>
      <c r="F18" s="455"/>
      <c r="G18" s="162"/>
    </row>
    <row r="19" spans="2:7" ht="18" thickBot="1" thickTop="1">
      <c r="B19" s="463" t="s">
        <v>43</v>
      </c>
      <c r="C19" s="464"/>
      <c r="D19" s="464"/>
      <c r="E19" s="464"/>
      <c r="F19" s="465"/>
      <c r="G19" s="163"/>
    </row>
    <row r="20" spans="2:7" ht="28.5" thickBot="1" thickTop="1">
      <c r="B20" s="174" t="s">
        <v>32</v>
      </c>
      <c r="C20" s="175"/>
      <c r="D20" s="26"/>
      <c r="E20" s="177" t="s">
        <v>34</v>
      </c>
      <c r="F20" s="175"/>
      <c r="G20" s="162"/>
    </row>
    <row r="21" spans="2:7" ht="24" thickBot="1" thickTop="1">
      <c r="B21" s="176" t="s">
        <v>55</v>
      </c>
      <c r="C21" s="175"/>
      <c r="D21" s="26"/>
      <c r="E21" s="178" t="s">
        <v>56</v>
      </c>
      <c r="F21" s="175"/>
      <c r="G21" s="162"/>
    </row>
    <row r="22" spans="2:7" ht="21.75" hidden="1" thickBot="1">
      <c r="B22" s="26"/>
      <c r="C22" s="26"/>
      <c r="D22" s="26"/>
      <c r="E22" s="25"/>
      <c r="F22" s="25"/>
      <c r="G22" s="162"/>
    </row>
    <row r="23" spans="2:7" ht="27" hidden="1" thickBot="1" thickTop="1">
      <c r="B23" s="26"/>
      <c r="C23" s="453" t="s">
        <v>28</v>
      </c>
      <c r="D23" s="454"/>
      <c r="E23" s="455"/>
      <c r="F23" s="25"/>
      <c r="G23" s="162"/>
    </row>
    <row r="24" spans="2:7" ht="18" hidden="1" thickBot="1" thickTop="1">
      <c r="B24" s="450" t="s">
        <v>58</v>
      </c>
      <c r="C24" s="451"/>
      <c r="D24" s="451"/>
      <c r="E24" s="451"/>
      <c r="F24" s="451"/>
      <c r="G24" s="452"/>
    </row>
    <row r="25" spans="1:7" ht="22.5" hidden="1" thickBot="1" thickTop="1">
      <c r="A25" s="294">
        <f>D25+E25+G25</f>
        <v>0</v>
      </c>
      <c r="B25" s="19"/>
      <c r="C25" s="19"/>
      <c r="D25" s="146"/>
      <c r="E25" s="147"/>
      <c r="F25" s="19"/>
      <c r="G25" s="147"/>
    </row>
    <row r="26" spans="2:7" ht="25.5" hidden="1" thickBot="1">
      <c r="B26" s="19"/>
      <c r="C26" s="19"/>
      <c r="D26" s="19"/>
      <c r="E26" s="19"/>
      <c r="F26" s="19"/>
      <c r="G26" s="278"/>
    </row>
    <row r="27" spans="2:7" ht="27" hidden="1" thickBot="1" thickTop="1">
      <c r="B27" s="19"/>
      <c r="C27" s="453" t="s">
        <v>29</v>
      </c>
      <c r="D27" s="454"/>
      <c r="E27" s="455"/>
      <c r="F27" s="19"/>
      <c r="G27" s="161"/>
    </row>
    <row r="28" spans="2:7" ht="18" hidden="1" thickBot="1" thickTop="1">
      <c r="B28" s="450" t="s">
        <v>59</v>
      </c>
      <c r="C28" s="451"/>
      <c r="D28" s="451"/>
      <c r="E28" s="451"/>
      <c r="F28" s="451"/>
      <c r="G28" s="452"/>
    </row>
    <row r="29" spans="1:7" ht="22.5" hidden="1" thickBot="1" thickTop="1">
      <c r="A29" s="294">
        <f>D29+E29+G29</f>
        <v>0</v>
      </c>
      <c r="B29" s="19"/>
      <c r="C29" s="19"/>
      <c r="D29" s="148"/>
      <c r="E29" s="148"/>
      <c r="F29" s="139"/>
      <c r="G29" s="148"/>
    </row>
    <row r="30" spans="2:7" ht="17.25" hidden="1" thickBot="1">
      <c r="B30" s="25"/>
      <c r="C30" s="25"/>
      <c r="D30" s="25"/>
      <c r="E30" s="25"/>
      <c r="F30" s="24"/>
      <c r="G30" s="24"/>
    </row>
    <row r="31" spans="2:7" ht="24.75" thickBot="1" thickTop="1">
      <c r="B31" s="456" t="s">
        <v>104</v>
      </c>
      <c r="C31" s="457"/>
      <c r="D31" s="457"/>
      <c r="E31" s="458"/>
      <c r="F31" s="459"/>
      <c r="G31" s="459"/>
    </row>
    <row r="32" spans="2:7" ht="17.25" thickBot="1" thickTop="1">
      <c r="B32" s="154" t="s">
        <v>5</v>
      </c>
      <c r="C32" s="154" t="s">
        <v>8</v>
      </c>
      <c r="D32" s="155" t="s">
        <v>9</v>
      </c>
      <c r="E32" s="154" t="s">
        <v>88</v>
      </c>
      <c r="F32" s="51"/>
      <c r="G32" s="130" t="s">
        <v>5</v>
      </c>
    </row>
    <row r="33" spans="1:7" ht="16.5" thickBot="1">
      <c r="A33">
        <f>G33</f>
        <v>13608</v>
      </c>
      <c r="B33" s="60" t="s">
        <v>105</v>
      </c>
      <c r="C33" s="61">
        <f>G33</f>
        <v>13608</v>
      </c>
      <c r="D33" s="62">
        <v>0</v>
      </c>
      <c r="E33" s="63">
        <f aca="true" t="shared" si="0" ref="E33:E38">C33*D33</f>
        <v>0</v>
      </c>
      <c r="G33" s="55">
        <f>7*Parámetros!E32</f>
        <v>13608</v>
      </c>
    </row>
    <row r="34" spans="1:7" ht="16.5" thickBot="1">
      <c r="A34">
        <f>IF(C52&gt;=G34,G34-G33,C52-G33)</f>
        <v>-13608</v>
      </c>
      <c r="B34" s="64" t="s">
        <v>106</v>
      </c>
      <c r="C34" s="65">
        <f>IF(A34&lt;=0,0,A34)</f>
        <v>0</v>
      </c>
      <c r="D34" s="66">
        <v>0.1</v>
      </c>
      <c r="E34" s="67">
        <f t="shared" si="0"/>
        <v>0</v>
      </c>
      <c r="G34" s="56">
        <f>10*Parámetros!E32</f>
        <v>19440</v>
      </c>
    </row>
    <row r="35" spans="1:7" ht="16.5" thickBot="1">
      <c r="A35">
        <f>IF(C52&gt;=G35,G35-G34,C52-G34)</f>
        <v>-19440</v>
      </c>
      <c r="B35" s="68" t="s">
        <v>3</v>
      </c>
      <c r="C35" s="69">
        <f>IF(A35&lt;=0,0,A35)</f>
        <v>0</v>
      </c>
      <c r="D35" s="70">
        <v>0.15</v>
      </c>
      <c r="E35" s="71">
        <f t="shared" si="0"/>
        <v>0</v>
      </c>
      <c r="G35" s="57">
        <f>15*Parámetros!E32</f>
        <v>29160</v>
      </c>
    </row>
    <row r="36" spans="1:7" ht="16.5" thickBot="1">
      <c r="A36">
        <f>IF(C52&gt;=G36,G36-G35,C52-G35)</f>
        <v>-29160</v>
      </c>
      <c r="B36" s="72" t="s">
        <v>13</v>
      </c>
      <c r="C36" s="73">
        <f>IF(A36&lt;=0,0,A36)</f>
        <v>0</v>
      </c>
      <c r="D36" s="74">
        <v>0.2</v>
      </c>
      <c r="E36" s="75">
        <f t="shared" si="0"/>
        <v>0</v>
      </c>
      <c r="G36" s="58">
        <f>50*Parámetros!E32</f>
        <v>97200</v>
      </c>
    </row>
    <row r="37" spans="1:7" ht="16.5" thickBot="1">
      <c r="A37">
        <f>IF(C52&gt;=G37,G37-G36,C52-G36)</f>
        <v>-97200</v>
      </c>
      <c r="B37" s="76" t="s">
        <v>14</v>
      </c>
      <c r="C37" s="77">
        <f>IF(A37&lt;=0,0,A37)</f>
        <v>0</v>
      </c>
      <c r="D37" s="78">
        <v>0.22</v>
      </c>
      <c r="E37" s="79">
        <f t="shared" si="0"/>
        <v>0</v>
      </c>
      <c r="G37" s="59">
        <f>100*Parámetros!E32</f>
        <v>194400</v>
      </c>
    </row>
    <row r="38" spans="1:5" ht="16.5" thickBot="1">
      <c r="A38">
        <f>IF(C52&gt;G37,C52-G37,0)</f>
        <v>0</v>
      </c>
      <c r="B38" s="80" t="s">
        <v>15</v>
      </c>
      <c r="C38" s="279">
        <f>IF(A38&lt;=0,0,A38)</f>
        <v>0</v>
      </c>
      <c r="D38" s="280">
        <v>0.25</v>
      </c>
      <c r="E38" s="149">
        <f t="shared" si="0"/>
        <v>0</v>
      </c>
    </row>
    <row r="39" spans="3:7" ht="21.75" thickBot="1" thickTop="1">
      <c r="C39" s="442" t="s">
        <v>40</v>
      </c>
      <c r="D39" s="443"/>
      <c r="E39" s="281">
        <f>SUM(E34:E38)</f>
        <v>0</v>
      </c>
      <c r="F39" s="444"/>
      <c r="G39" s="444"/>
    </row>
    <row r="40" spans="3:7" ht="23.25" hidden="1" thickBot="1" thickTop="1">
      <c r="C40" s="283"/>
      <c r="D40" s="283"/>
      <c r="E40" s="284"/>
      <c r="F40" s="282"/>
      <c r="G40" s="282"/>
    </row>
    <row r="41" spans="2:7" ht="34.5" thickBot="1" thickTop="1">
      <c r="B41" s="445" t="s">
        <v>107</v>
      </c>
      <c r="C41" s="446"/>
      <c r="D41" s="446"/>
      <c r="E41" s="447"/>
      <c r="F41" s="448">
        <f>C51</f>
        <v>0</v>
      </c>
      <c r="G41" s="449"/>
    </row>
    <row r="42" spans="2:7" ht="21.75" hidden="1">
      <c r="B42" s="285"/>
      <c r="C42" s="286" t="s">
        <v>108</v>
      </c>
      <c r="D42" s="286"/>
      <c r="E42" s="287"/>
      <c r="F42" s="288"/>
      <c r="G42" s="288"/>
    </row>
    <row r="43" spans="3:7" ht="22.5" hidden="1" thickBot="1">
      <c r="C43" s="283"/>
      <c r="D43" s="283"/>
      <c r="E43" s="284"/>
      <c r="F43" s="282"/>
      <c r="G43" s="282"/>
    </row>
    <row r="44" spans="2:7" ht="39" thickBot="1" thickTop="1">
      <c r="B44" s="289" t="s">
        <v>104</v>
      </c>
      <c r="C44" s="433">
        <f>IF(E39-C119&lt;0,0,E39-C119)</f>
        <v>0</v>
      </c>
      <c r="D44" s="434"/>
      <c r="E44" s="290" t="s">
        <v>109</v>
      </c>
      <c r="F44" s="435">
        <f>C50</f>
        <v>0</v>
      </c>
      <c r="G44" s="436"/>
    </row>
    <row r="45" spans="6:7" ht="19.5" hidden="1" thickBot="1" thickTop="1">
      <c r="F45" s="27"/>
      <c r="G45" s="22"/>
    </row>
    <row r="46" spans="2:7" ht="42.75" hidden="1" thickBot="1" thickTop="1">
      <c r="B46" s="437" t="s">
        <v>30</v>
      </c>
      <c r="C46" s="438"/>
      <c r="D46" s="438"/>
      <c r="E46" s="439"/>
      <c r="F46" s="440" t="e">
        <f>E44-C55</f>
        <v>#VALUE!</v>
      </c>
      <c r="G46" s="441"/>
    </row>
    <row r="47" spans="3:7" ht="14.25" hidden="1" thickBot="1" thickTop="1">
      <c r="C47" s="1"/>
      <c r="G47" s="3"/>
    </row>
    <row r="48" spans="2:3" ht="16.5" hidden="1" thickBot="1">
      <c r="B48" s="41" t="s">
        <v>37</v>
      </c>
      <c r="C48" s="42">
        <f>IF(A12&gt;0,A12*0.125%,0)</f>
        <v>0</v>
      </c>
    </row>
    <row r="49" spans="2:6" ht="16.5" hidden="1" thickBot="1">
      <c r="B49" s="38" t="s">
        <v>120</v>
      </c>
      <c r="C49" s="40">
        <f>IF(A9&lt;=0,A12,A12+A9)</f>
        <v>0</v>
      </c>
      <c r="E49" s="428" t="s">
        <v>7</v>
      </c>
      <c r="F49" s="429"/>
    </row>
    <row r="50" spans="2:7" ht="16.5" hidden="1" thickBot="1">
      <c r="B50" s="39" t="s">
        <v>109</v>
      </c>
      <c r="C50" s="43">
        <f>IF(C49&lt;=G55,C49*3%,IF(G6&gt;0,C49*6%,C49*4.5%))</f>
        <v>0</v>
      </c>
      <c r="D50" s="172" t="s">
        <v>62</v>
      </c>
      <c r="E50" s="6">
        <v>0</v>
      </c>
      <c r="F50" s="20">
        <f>3*F55</f>
        <v>5832</v>
      </c>
      <c r="G50" s="168">
        <f>(F50+2)*1.02</f>
        <v>5950.68</v>
      </c>
    </row>
    <row r="51" spans="2:7" ht="16.5" hidden="1" thickBot="1">
      <c r="B51" s="96" t="s">
        <v>0</v>
      </c>
      <c r="C51" s="97">
        <f>E94</f>
        <v>0</v>
      </c>
      <c r="D51" s="42">
        <f>C51+C50+C48</f>
        <v>0</v>
      </c>
      <c r="E51" s="7">
        <v>0.02</v>
      </c>
      <c r="F51" s="21">
        <f>6*F55</f>
        <v>11664</v>
      </c>
      <c r="G51" s="168">
        <f>(F51+35)*1.06</f>
        <v>12400.94</v>
      </c>
    </row>
    <row r="52" spans="2:7" ht="16.5" hidden="1" thickBot="1">
      <c r="B52" s="90" t="s">
        <v>121</v>
      </c>
      <c r="C52" s="91">
        <f>G4</f>
        <v>0</v>
      </c>
      <c r="E52" s="8">
        <v>0.06</v>
      </c>
      <c r="F52" s="171">
        <f>(F55*6)+1</f>
        <v>11665</v>
      </c>
      <c r="G52" s="168">
        <f>(F51+4)*1.02</f>
        <v>11901.36</v>
      </c>
    </row>
    <row r="53" spans="2:7" ht="16.5" hidden="1" thickBot="1">
      <c r="B53" s="92" t="s">
        <v>41</v>
      </c>
      <c r="C53" s="93">
        <f>A25</f>
        <v>0</v>
      </c>
      <c r="E53" s="169"/>
      <c r="F53" s="170"/>
      <c r="G53" s="1"/>
    </row>
    <row r="54" spans="2:7" ht="16.5" hidden="1" thickBot="1">
      <c r="B54" s="94" t="s">
        <v>42</v>
      </c>
      <c r="C54" s="95">
        <f>A29</f>
        <v>0</v>
      </c>
      <c r="D54" s="291">
        <f>C53+C54</f>
        <v>0</v>
      </c>
      <c r="F54" s="2"/>
      <c r="G54" s="291" t="s">
        <v>110</v>
      </c>
    </row>
    <row r="55" spans="2:7" ht="21" hidden="1" thickBot="1">
      <c r="B55" s="98" t="s">
        <v>36</v>
      </c>
      <c r="C55" s="99" t="e">
        <f>#REF!+F44</f>
        <v>#REF!</v>
      </c>
      <c r="E55" s="35" t="s">
        <v>4</v>
      </c>
      <c r="F55" s="89">
        <f>Parámetros!E32</f>
        <v>1944</v>
      </c>
      <c r="G55" s="292">
        <f>2.5*F55</f>
        <v>4860</v>
      </c>
    </row>
    <row r="56" spans="2:3" ht="18.75" hidden="1" thickBot="1">
      <c r="B56" s="158" t="s">
        <v>54</v>
      </c>
      <c r="C56" s="159">
        <f>C48+C50+C51</f>
        <v>0</v>
      </c>
    </row>
    <row r="57" ht="13.5" hidden="1" thickBot="1"/>
    <row r="58" spans="2:5" ht="18.75" hidden="1" thickBot="1">
      <c r="B58" s="374" t="s">
        <v>12</v>
      </c>
      <c r="C58" s="375"/>
      <c r="D58" s="375"/>
      <c r="E58" s="376"/>
    </row>
    <row r="59" spans="2:7" ht="15.75" hidden="1" thickBot="1">
      <c r="B59" s="10" t="s">
        <v>5</v>
      </c>
      <c r="C59" s="9" t="s">
        <v>8</v>
      </c>
      <c r="D59" s="10" t="s">
        <v>9</v>
      </c>
      <c r="E59" s="10" t="s">
        <v>88</v>
      </c>
      <c r="G59" s="165"/>
    </row>
    <row r="60" spans="1:7" ht="12.75" hidden="1">
      <c r="A60">
        <f>G60</f>
        <v>15552</v>
      </c>
      <c r="B60" s="28" t="s">
        <v>111</v>
      </c>
      <c r="C60" s="13">
        <f>'[1]DEDUCCIONES'!D29*5</f>
        <v>0</v>
      </c>
      <c r="D60" s="4">
        <v>0</v>
      </c>
      <c r="E60" s="16">
        <f>C60*D60</f>
        <v>0</v>
      </c>
      <c r="G60" s="298">
        <f>8*Parámetros!E32</f>
        <v>15552</v>
      </c>
    </row>
    <row r="61" spans="1:7" ht="12.75" hidden="1">
      <c r="A61">
        <f>IF(D54&gt;=G61,G60,D54-G60)</f>
        <v>-15552</v>
      </c>
      <c r="B61" s="29" t="s">
        <v>112</v>
      </c>
      <c r="C61" s="14">
        <f>IF(A36&lt;=0,0,A36)</f>
        <v>0</v>
      </c>
      <c r="D61" s="5">
        <v>0.1</v>
      </c>
      <c r="E61" s="17">
        <f>C61*D61</f>
        <v>0</v>
      </c>
      <c r="G61" s="299">
        <f>15*Parámetros!E32</f>
        <v>29160</v>
      </c>
    </row>
    <row r="62" spans="1:7" ht="13.5" hidden="1" thickBot="1">
      <c r="A62">
        <f>IF(D54&gt;=G62,G60,D54-G61)</f>
        <v>-29160</v>
      </c>
      <c r="B62" s="29" t="s">
        <v>16</v>
      </c>
      <c r="C62" s="15">
        <f>IF(A37&lt;=0,0,A37)</f>
        <v>0</v>
      </c>
      <c r="D62" s="5">
        <v>0.15</v>
      </c>
      <c r="E62" s="17">
        <f>C62*D62</f>
        <v>0</v>
      </c>
      <c r="G62" s="300">
        <f>50*Parámetros!E32</f>
        <v>97200</v>
      </c>
    </row>
    <row r="63" spans="1:7" ht="13.5" hidden="1" thickBot="1">
      <c r="A63">
        <f>IF(D54&gt;G62,D54-G62,0)</f>
        <v>0</v>
      </c>
      <c r="B63" s="30" t="s">
        <v>17</v>
      </c>
      <c r="C63" s="31">
        <f>IF(A38&lt;=0,0,A38)</f>
        <v>0</v>
      </c>
      <c r="D63" s="32">
        <v>0.25</v>
      </c>
      <c r="E63" s="33">
        <f>C63*D63</f>
        <v>0</v>
      </c>
      <c r="G63" s="166"/>
    </row>
    <row r="64" spans="3:7" ht="18.75" hidden="1" thickBot="1">
      <c r="C64" s="374" t="s">
        <v>6</v>
      </c>
      <c r="D64" s="376"/>
      <c r="E64" s="18">
        <f>SUM(E61:E62)</f>
        <v>0</v>
      </c>
      <c r="G64" s="166"/>
    </row>
    <row r="65" spans="1:7" ht="12.75" hidden="1">
      <c r="A65" s="295"/>
      <c r="B65" s="295"/>
      <c r="C65" s="27"/>
      <c r="D65" s="27"/>
      <c r="E65" s="296"/>
      <c r="F65" s="295"/>
      <c r="G65" s="297"/>
    </row>
    <row r="66" spans="1:7" ht="12.75" hidden="1">
      <c r="A66" s="295"/>
      <c r="B66" s="295"/>
      <c r="C66" s="27"/>
      <c r="D66" s="27"/>
      <c r="E66" s="296"/>
      <c r="F66" s="295"/>
      <c r="G66" s="297"/>
    </row>
    <row r="67" ht="12.75" hidden="1">
      <c r="G67" s="27"/>
    </row>
    <row r="68" ht="12.75" hidden="1">
      <c r="G68" s="27"/>
    </row>
    <row r="69" ht="13.5" hidden="1" thickBot="1">
      <c r="G69" s="166"/>
    </row>
    <row r="70" spans="2:7" ht="16.5" hidden="1" thickBot="1">
      <c r="B70" s="135" t="s">
        <v>44</v>
      </c>
      <c r="C70" s="136"/>
      <c r="D70" s="137"/>
      <c r="G70" s="167"/>
    </row>
    <row r="71" ht="13.5" hidden="1" thickBot="1">
      <c r="C71" s="132"/>
    </row>
    <row r="72" spans="3:7" ht="13.5" hidden="1" thickBot="1">
      <c r="C72" s="264">
        <f>IF(B12&gt;G51,B12*6%,(IF(B12&lt;=F50,0,IF(AND(B12&gt;F50,B12&lt;=G50),B12*2%-(F50-(B12-(B12*2%))),IF(AND(B12&gt;F51,B12&lt;=G51),B12*6%-(I51-(B12-(B12*6%))),B12*2%)))))</f>
        <v>0</v>
      </c>
      <c r="E72" s="133" t="s">
        <v>46</v>
      </c>
      <c r="G72" s="164"/>
    </row>
    <row r="73" spans="3:7" ht="16.5" hidden="1" thickBot="1">
      <c r="C73" s="264">
        <f>IF(C12&gt;G51,C12*6%,(IF(C12&lt;=F50,0,IF(AND(C12&gt;F50,C12&lt;=G50),C12*2%-(F50-(C12-(C12*2%))),IF(AND(C12&gt;F51,C12&lt;=G51),C12*6%-(I51-(C12-(C12*6%))),C12*2%)))))</f>
        <v>0</v>
      </c>
      <c r="E73" s="93">
        <f>IF(G25&gt;G52,G25*2%,(IF(G25&lt;=F51,0,G25-F51)))+IF(E25&gt;G52,E25*2%,(IF(E25&lt;=F51,0,E25-F51)))+IF(D25&gt;G52,D25*2%,(IF(D25&lt;=F51,0,D25-F51)))</f>
        <v>0</v>
      </c>
      <c r="G73" s="164"/>
    </row>
    <row r="74" spans="3:7" ht="13.5" hidden="1" thickBot="1">
      <c r="C74" s="264">
        <f>IF(D12&gt;G51,D12*6%,(IF(D12&lt;=F50,0,IF(AND(D12&gt;F50,D12&lt;=G50),D12*2%-(F50-(D12-(D12*2%))),IF(AND(D12&gt;F51,D12&lt;=G51),D12*6%-(I51-(D12-(D12*6%))),D12*2%)))))</f>
        <v>0</v>
      </c>
      <c r="G74" s="164"/>
    </row>
    <row r="75" spans="3:5" ht="13.5" hidden="1" thickBot="1">
      <c r="C75" s="264">
        <f>IF(E12&gt;G51,E12*6%,(IF(E12&lt;=F50,0,IF(AND(E12&gt;F50,E12&lt;=G50),E12*2%-(F50-(E12-(E12*2%))),IF(AND(E12&gt;F51,E12&lt;=G51),E12*6%-(I51-(E12-(E12*6%))),E12*2%)))))</f>
        <v>0</v>
      </c>
      <c r="E75" s="134" t="s">
        <v>47</v>
      </c>
    </row>
    <row r="76" spans="3:7" ht="16.5" hidden="1" thickBot="1">
      <c r="C76" s="264">
        <f>IF(F12&gt;G51,F12*6%,(IF(F12&lt;=F50,0,IF(AND(F12&gt;F50,F12&lt;=G50),F12*2%-(F50-(F12-(F12*2%))),IF(AND(F12&gt;F51,F12&lt;=G51),F12*6%-(I51-(F12-(F12*6%))),F12*2%)))))</f>
        <v>0</v>
      </c>
      <c r="E76" s="270">
        <f>IF(G29&gt;G52,G29*2%,(IF(G29&lt;=F51,0,G29-F51)))+IF(E29&gt;G52,E29*2%,(IF(E29&lt;=F51,0,E29-F51)))+IF(D29&gt;G52,D29*2%,(IF(D29&lt;=F51,0,D29-F51)))</f>
        <v>0</v>
      </c>
      <c r="G76" s="164"/>
    </row>
    <row r="77" ht="13.5" hidden="1" thickBot="1">
      <c r="C77" s="264">
        <f>IF(G12&gt;G51,G12*6%,(IF(G12&lt;=F50,0,IF(AND(G12&gt;F50,G12&lt;=G50),G12*2%-(F50-(G12-(G12*2%))),IF(AND(G12&gt;F51,G12&lt;=G51),G12*6%-(I51-(G12-(G12*6%))),G12*2%)))))</f>
        <v>0</v>
      </c>
    </row>
    <row r="78" spans="2:3" ht="18.75" hidden="1" thickBot="1">
      <c r="B78" s="138" t="s">
        <v>45</v>
      </c>
      <c r="C78" s="265">
        <f>SUM(C72:C77)</f>
        <v>0</v>
      </c>
    </row>
    <row r="79" ht="13.5" hidden="1" thickBot="1"/>
    <row r="80" spans="2:4" ht="16.5" hidden="1" thickBot="1">
      <c r="B80" s="430" t="s">
        <v>48</v>
      </c>
      <c r="C80" s="431"/>
      <c r="D80" s="432"/>
    </row>
    <row r="81" ht="12.75" hidden="1">
      <c r="C81" s="266">
        <f>IF(G9&gt;G51,G9*6%,(IF(G9&lt;=F50,0,IF(AND(G9&gt;F50,G9&lt;=G50),G9*2%-(F50-(G9-(G9*2%))),IF(AND(G9&gt;F51,G9&lt;=G51),G9*6%-(I51-(G9-(G9*6%))),G9*2%)))))</f>
        <v>0</v>
      </c>
    </row>
    <row r="82" ht="12.75" hidden="1">
      <c r="C82" s="267">
        <f>IF(E9&gt;G51,E9*6%,(IF(E9&lt;=F50,0,IF(AND(E9&gt;F50,E9&lt;=G50),E9*2%-(F50-(E9-(E9*2%))),IF(AND(E9&gt;F51,E9&lt;=G51),E9*6%-(I51-(E9-(E9*6%))),E9*2%)))))</f>
        <v>0</v>
      </c>
    </row>
    <row r="83" ht="13.5" hidden="1" thickBot="1">
      <c r="C83" s="268">
        <f>IF(D9&gt;G51,D9*6%,(IF(D9&lt;=F50,0,IF(AND(D9&gt;F50,D9&lt;=G50),D9*2%-(F50-(D9-(D9*2%))),IF(AND(D9&gt;F51,D9&lt;=G51),D9*6%-(I51-(D9-(D9*6%))),D9*2%)))))</f>
        <v>0</v>
      </c>
    </row>
    <row r="84" spans="2:3" ht="18.75" hidden="1" thickBot="1">
      <c r="B84" s="143" t="s">
        <v>45</v>
      </c>
      <c r="C84" s="269">
        <f>SUM(C81:C83)</f>
        <v>0</v>
      </c>
    </row>
    <row r="85" ht="12.75" hidden="1"/>
    <row r="86" ht="12.75" hidden="1"/>
    <row r="87" ht="12.75" hidden="1"/>
    <row r="88" ht="13.5" hidden="1" thickBot="1"/>
    <row r="89" spans="3:5" ht="13.5" hidden="1" thickBot="1">
      <c r="C89" s="418" t="s">
        <v>49</v>
      </c>
      <c r="D89" s="419"/>
      <c r="E89" s="86">
        <f>Parámetros!E57</f>
        <v>59414</v>
      </c>
    </row>
    <row r="90" ht="13.5" hidden="1" thickBot="1"/>
    <row r="91" spans="4:5" ht="16.5" hidden="1" thickBot="1">
      <c r="D91" s="85" t="s">
        <v>50</v>
      </c>
      <c r="E91" s="156">
        <f>C49*15%</f>
        <v>0</v>
      </c>
    </row>
    <row r="92" spans="4:5" ht="16.5" hidden="1" thickBot="1">
      <c r="D92" s="85" t="s">
        <v>51</v>
      </c>
      <c r="E92" s="156">
        <f>IF(C49&lt;=E89,C49*15%,E89*15%)</f>
        <v>0</v>
      </c>
    </row>
    <row r="93" ht="13.5" hidden="1" thickBot="1">
      <c r="E93" s="1"/>
    </row>
    <row r="94" spans="4:5" ht="18.75" hidden="1" thickBot="1">
      <c r="D94" s="85" t="s">
        <v>53</v>
      </c>
      <c r="E94" s="157">
        <f>IF(G7=1,E92,E91)</f>
        <v>0</v>
      </c>
    </row>
    <row r="95" ht="13.5" hidden="1" thickBot="1"/>
    <row r="96" spans="2:7" ht="27.75" hidden="1" thickBot="1" thickTop="1">
      <c r="B96" s="420" t="s">
        <v>22</v>
      </c>
      <c r="C96" s="421"/>
      <c r="D96" s="421"/>
      <c r="E96" s="421"/>
      <c r="F96" s="421"/>
      <c r="G96" s="184">
        <f>C119</f>
        <v>0</v>
      </c>
    </row>
    <row r="97" ht="13.5" hidden="1" thickBot="1"/>
    <row r="98" spans="2:4" ht="21" hidden="1" thickBot="1">
      <c r="B98" s="397" t="s">
        <v>11</v>
      </c>
      <c r="C98" s="398"/>
      <c r="D98" s="399"/>
    </row>
    <row r="99" spans="2:5" ht="18.75" hidden="1" thickBot="1">
      <c r="B99" s="422" t="s">
        <v>64</v>
      </c>
      <c r="C99" s="423"/>
      <c r="D99" s="424"/>
      <c r="E99" s="215">
        <f>Parámetros!E4</f>
        <v>2106</v>
      </c>
    </row>
    <row r="100" ht="13.5" hidden="1" thickBot="1"/>
    <row r="101" spans="2:4" ht="21" hidden="1" thickBot="1">
      <c r="B101" s="403" t="s">
        <v>11</v>
      </c>
      <c r="C101" s="404"/>
      <c r="D101" s="405"/>
    </row>
    <row r="102" spans="2:5" ht="18.75" hidden="1" thickBot="1">
      <c r="B102" s="425" t="s">
        <v>114</v>
      </c>
      <c r="C102" s="426"/>
      <c r="D102" s="427"/>
      <c r="E102" s="126">
        <f>Parámetros!E9</f>
        <v>4212</v>
      </c>
    </row>
    <row r="103" ht="13.5" hidden="1" thickBot="1"/>
    <row r="104" spans="1:7" ht="16.5" hidden="1" thickBot="1">
      <c r="A104" s="382" t="s">
        <v>23</v>
      </c>
      <c r="B104" s="396"/>
      <c r="C104" s="383"/>
      <c r="E104" s="382" t="s">
        <v>25</v>
      </c>
      <c r="F104" s="396"/>
      <c r="G104" s="383"/>
    </row>
    <row r="105" spans="2:6" ht="18.75" hidden="1" thickBot="1">
      <c r="B105" s="46">
        <f>IF(G5=0,0,(E94+C50+C48+(C20/12)+(F20/12)+C21+F21+(G14*E99)+(G16*E102)))</f>
        <v>0</v>
      </c>
      <c r="E105" s="84">
        <f>IF(A25&gt;E128,A25*1%,A25*3%)</f>
        <v>0</v>
      </c>
      <c r="F105" s="49">
        <f>IF(A25&lt;=0,0,IF(AND(A29&lt;=0,B105&lt;=0),F108,IF(AND(A29&lt;=0,E105&gt;0),E102+E105,F108)))</f>
        <v>0</v>
      </c>
    </row>
    <row r="106" spans="2:6" ht="18.75" hidden="1" thickBot="1">
      <c r="B106" s="87"/>
      <c r="E106" s="88"/>
      <c r="F106" s="49"/>
    </row>
    <row r="107" ht="13.5" hidden="1" thickBot="1"/>
    <row r="108" spans="1:6" ht="16.5" hidden="1" thickBot="1">
      <c r="A108" s="83"/>
      <c r="C108" s="382" t="s">
        <v>26</v>
      </c>
      <c r="D108" s="383"/>
      <c r="E108" s="85">
        <f>IF(G5&lt;=0,(C20/12)+(F20/12)+C21+F21+G14*E99+G16*E102,0)</f>
        <v>0</v>
      </c>
      <c r="F108" s="86">
        <f>E108+E105+E102</f>
        <v>4212</v>
      </c>
    </row>
    <row r="109" spans="3:4" ht="21" hidden="1" thickBot="1">
      <c r="C109" s="384">
        <f>IF(A29&lt;=0,0,IF(AND(A25&lt;=0,B105&lt;=0),F108,IF(AND(A25&lt;=0,B105&gt;0),F108,0)))</f>
        <v>0</v>
      </c>
      <c r="D109" s="385"/>
    </row>
    <row r="110" spans="3:4" ht="21" hidden="1" thickBot="1">
      <c r="C110" s="36"/>
      <c r="D110" s="36"/>
    </row>
    <row r="111" spans="2:5" ht="24" hidden="1" thickBot="1">
      <c r="B111" s="388" t="s">
        <v>35</v>
      </c>
      <c r="C111" s="389"/>
      <c r="D111" s="390"/>
      <c r="E111" s="47">
        <f>B105</f>
        <v>0</v>
      </c>
    </row>
    <row r="112" ht="13.5" hidden="1" thickBot="1"/>
    <row r="113" spans="2:7" ht="13.5" hidden="1" thickBot="1">
      <c r="B113" s="41" t="s">
        <v>5</v>
      </c>
      <c r="C113" s="52" t="s">
        <v>18</v>
      </c>
      <c r="D113" s="41" t="s">
        <v>9</v>
      </c>
      <c r="E113" s="53" t="s">
        <v>88</v>
      </c>
      <c r="G113" s="54" t="s">
        <v>5</v>
      </c>
    </row>
    <row r="114" spans="1:7" ht="15" hidden="1">
      <c r="A114" s="37">
        <f>IF(E111&lt;=G114,E111,G114)</f>
        <v>0</v>
      </c>
      <c r="B114" s="100" t="s">
        <v>115</v>
      </c>
      <c r="C114" s="101">
        <f>IF(A114&lt;=0,0,A114)</f>
        <v>0</v>
      </c>
      <c r="D114" s="102">
        <v>0.1</v>
      </c>
      <c r="E114" s="103">
        <f>C114*D114</f>
        <v>0</v>
      </c>
      <c r="G114" s="122">
        <f>3*Parámetros!E32</f>
        <v>5832</v>
      </c>
    </row>
    <row r="115" spans="1:7" ht="15" hidden="1">
      <c r="A115" s="37">
        <f>IF(E111&gt;=G115,G115-G114,E111-G114)</f>
        <v>-5832</v>
      </c>
      <c r="B115" s="104" t="s">
        <v>116</v>
      </c>
      <c r="C115" s="105">
        <f>IF(A115&lt;=0,0,A115)</f>
        <v>0</v>
      </c>
      <c r="D115" s="106">
        <v>0.15</v>
      </c>
      <c r="E115" s="107">
        <f>C115*D115</f>
        <v>0</v>
      </c>
      <c r="G115" s="123">
        <f>8*Parámetros!E32</f>
        <v>15552</v>
      </c>
    </row>
    <row r="116" spans="1:7" ht="15" hidden="1">
      <c r="A116" s="37">
        <f>IF(E111&gt;=G116,G116-G115,E111-G115)</f>
        <v>-15552</v>
      </c>
      <c r="B116" s="108" t="s">
        <v>117</v>
      </c>
      <c r="C116" s="109">
        <f>IF(A116&lt;=0,0,A116)</f>
        <v>0</v>
      </c>
      <c r="D116" s="110">
        <v>0.2</v>
      </c>
      <c r="E116" s="111">
        <f>C116*D116</f>
        <v>0</v>
      </c>
      <c r="G116" s="124">
        <f>43*Parámetros!E32</f>
        <v>83592</v>
      </c>
    </row>
    <row r="117" spans="1:7" ht="15.75" hidden="1" thickBot="1">
      <c r="A117" s="37">
        <f>IF(E111&gt;=G117,G117-G116,E111-G116)</f>
        <v>-83592</v>
      </c>
      <c r="B117" s="112" t="s">
        <v>118</v>
      </c>
      <c r="C117" s="113">
        <f>IF(A117&lt;=0,0,A117)</f>
        <v>0</v>
      </c>
      <c r="D117" s="114">
        <v>0.22</v>
      </c>
      <c r="E117" s="115">
        <f>C117*D117</f>
        <v>0</v>
      </c>
      <c r="G117" s="125">
        <f>93*Parámetros!E32</f>
        <v>180792</v>
      </c>
    </row>
    <row r="118" spans="1:5" ht="15.75" hidden="1" thickBot="1">
      <c r="A118" s="37">
        <f>IF(E111&gt;G117,E111-G117,0)</f>
        <v>0</v>
      </c>
      <c r="B118" s="116" t="s">
        <v>119</v>
      </c>
      <c r="C118" s="117">
        <f>IF(A118&lt;=0,0,A118)</f>
        <v>0</v>
      </c>
      <c r="D118" s="182">
        <v>0.25</v>
      </c>
      <c r="E118" s="183">
        <f>C118*D118</f>
        <v>0</v>
      </c>
    </row>
    <row r="119" spans="2:5" ht="27" hidden="1" thickBot="1">
      <c r="B119" s="120"/>
      <c r="C119" s="411">
        <f>SUM(E114:E118)</f>
        <v>0</v>
      </c>
      <c r="D119" s="412"/>
      <c r="E119" s="413"/>
    </row>
    <row r="120" ht="12.75" hidden="1"/>
    <row r="121" ht="13.5" hidden="1" thickBot="1"/>
    <row r="122" spans="4:5" ht="24" hidden="1" thickBot="1">
      <c r="D122" s="34" t="s">
        <v>4</v>
      </c>
      <c r="E122" s="81">
        <f>Parámetros!E32</f>
        <v>1944</v>
      </c>
    </row>
    <row r="123" ht="12.75" hidden="1"/>
    <row r="124" ht="13.5" hidden="1" thickBot="1"/>
    <row r="125" spans="3:5" ht="21" hidden="1" thickBot="1">
      <c r="C125" s="391" t="s">
        <v>39</v>
      </c>
      <c r="D125" s="392"/>
      <c r="E125" s="50">
        <f>3*E122</f>
        <v>5832</v>
      </c>
    </row>
    <row r="126" spans="3:5" ht="16.5" hidden="1" thickBot="1">
      <c r="C126" s="414" t="s">
        <v>24</v>
      </c>
      <c r="D126" s="415"/>
      <c r="E126" s="45">
        <f>3*E122+1</f>
        <v>5833</v>
      </c>
    </row>
    <row r="127" ht="13.5" hidden="1" thickBot="1"/>
    <row r="128" spans="3:5" ht="21" hidden="1" thickBot="1">
      <c r="C128" s="416" t="s">
        <v>31</v>
      </c>
      <c r="D128" s="417"/>
      <c r="E128" s="82">
        <f>Parámetros!E45</f>
        <v>5519.29</v>
      </c>
    </row>
    <row r="129" ht="12.75" hidden="1"/>
    <row r="130" ht="13.5" hidden="1" thickBot="1"/>
    <row r="131" spans="3:5" ht="21.75" hidden="1" thickBot="1" thickTop="1">
      <c r="C131" s="409" t="s">
        <v>52</v>
      </c>
      <c r="D131" s="410"/>
      <c r="E131" s="181">
        <f>Parámetros!E57</f>
        <v>59414</v>
      </c>
    </row>
    <row r="132" ht="12.75" hidden="1"/>
    <row r="133" ht="12.75" hidden="1"/>
    <row r="134" ht="12.75" hidden="1"/>
    <row r="135" ht="13.5" thickTop="1"/>
  </sheetData>
  <sheetProtection password="E71E" sheet="1" objects="1" scenarios="1"/>
  <mergeCells count="45">
    <mergeCell ref="C3:E3"/>
    <mergeCell ref="B4:F4"/>
    <mergeCell ref="B6:F6"/>
    <mergeCell ref="B7:F7"/>
    <mergeCell ref="B8:F8"/>
    <mergeCell ref="B11:F11"/>
    <mergeCell ref="B13:F13"/>
    <mergeCell ref="B14:F14"/>
    <mergeCell ref="B16:F16"/>
    <mergeCell ref="B18:F18"/>
    <mergeCell ref="B19:F19"/>
    <mergeCell ref="C23:E23"/>
    <mergeCell ref="B24:G24"/>
    <mergeCell ref="C27:E27"/>
    <mergeCell ref="B28:G28"/>
    <mergeCell ref="B31:E31"/>
    <mergeCell ref="F31:G31"/>
    <mergeCell ref="C39:D39"/>
    <mergeCell ref="F39:G39"/>
    <mergeCell ref="B41:E41"/>
    <mergeCell ref="F41:G41"/>
    <mergeCell ref="C44:D44"/>
    <mergeCell ref="F44:G44"/>
    <mergeCell ref="B46:E46"/>
    <mergeCell ref="F46:G46"/>
    <mergeCell ref="E49:F49"/>
    <mergeCell ref="B58:E58"/>
    <mergeCell ref="C64:D64"/>
    <mergeCell ref="B80:D80"/>
    <mergeCell ref="C89:D89"/>
    <mergeCell ref="B96:F96"/>
    <mergeCell ref="B98:D98"/>
    <mergeCell ref="B99:D99"/>
    <mergeCell ref="B101:D101"/>
    <mergeCell ref="B102:D102"/>
    <mergeCell ref="A104:C104"/>
    <mergeCell ref="E104:G104"/>
    <mergeCell ref="C108:D108"/>
    <mergeCell ref="C109:D109"/>
    <mergeCell ref="B111:D111"/>
    <mergeCell ref="C119:E119"/>
    <mergeCell ref="C125:D125"/>
    <mergeCell ref="C126:D126"/>
    <mergeCell ref="C128:D128"/>
    <mergeCell ref="C131:D131"/>
  </mergeCells>
  <dataValidations count="26">
    <dataValidation type="whole" allowBlank="1" showInputMessage="1" showErrorMessage="1" errorTitle="Dato no válido" error="Solo podrás ingresar números enteros, sin decimales. Tampoco digites puntos o comas." sqref="G14:G19">
      <formula1>0</formula1>
      <formula2>1E+33</formula2>
    </dataValidation>
    <dataValidation type="whole" allowBlank="1" showInputMessage="1" showErrorMessage="1" sqref="G8">
      <formula1>0</formula1>
      <formula2>1E+33</formula2>
    </dataValidation>
    <dataValidation type="whole" allowBlank="1" showInputMessage="1" showErrorMessage="1" promptTitle="PASIVIDAD" prompt="DIGITA AQUÍ DONDE ESTAS PARADO, EL IMPORTE DE TU PASIVIDAD NOMINAL, SIN DECIMALES Y SIN AGREGAR PUNTOS O COMAS. " sqref="G26">
      <formula1>0</formula1>
      <formula2>1E+37</formula2>
    </dataValidation>
    <dataValidation type="whole" allowBlank="1" showInputMessage="1" showErrorMessage="1" promptTitle="SUELDO" prompt="DIGITÁ AQUÍ DONDE ESTAS POSICIONADO, TU SUELDO NOMINAL O BRUTO SIN RESTARLE NINGUNA PARTIDA, (VER HOJA GUIA TRABAJADOR.&#10;INGRESALO SIN DECIMALES Y SIN AGREGAR PUNTOS O COMAS." errorTitle="Dato no válido" error="Solo podrás ingresar números enteros, sin decimales. Tampoco digites puntos o comas." sqref="G5">
      <formula1>0</formula1>
      <formula2>1E+36</formula2>
    </dataValidation>
    <dataValidation allowBlank="1" showInputMessage="1" showErrorMessage="1" promptTitle="B.P.C." prompt="Ingresar el valor actual de la Base de Prestaciones y Contribuciones, decretada por el Poder Ejecutivo" sqref="F55"/>
    <dataValidation type="whole" allowBlank="1" showInputMessage="1" showErrorMessage="1" promptTitle="PENSION" prompt="DIGITAR EL IMPORTE DE TU PENSIÓN NOMINAL, SIN DECIMALES. TAMPOCO DIGITES PUNTOS O COMAS.&#10;EN CASO DE TENER MAS DE UNA PENSIÓN, INGRESAR UNA POR CELDA.&#10;VER HOJA DE GUIA PENSIÓN." errorTitle="Dato no válido." error="Solo podras ingresar números enteros, sin decimales, puntos o comas" sqref="G29">
      <formula1>0</formula1>
      <formula2>1E+37</formula2>
    </dataValidation>
    <dataValidation type="whole" allowBlank="1" showInputMessage="1" showErrorMessage="1" promptTitle="JUBILACIÓN" prompt="DIGITAR AQUÍ, EL IMPORTE DE TU JUBILACIÓN NOMINAL, SIN DECIMALES Y SIN AGREGAR PUNTOS O COMAS. &#10;EN CASO DE TENER MAS DE UNA JUBILACIÓN, INGRESAR UNA JUBILACIÓN POR CELDA.&#10;VER HOJA DE GUIA JUBILACIÓN." errorTitle="Dato no válido" error="Solo podras ingresar números enteros, sin decimales, puntos o comas." sqref="G25">
      <formula1>0</formula1>
      <formula2>1E+37</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errorTitle="Dato no válido" error="Debes ingresar un número entero, sin decimilas, ni comas ni puntos." sqref="G10">
      <formula1>0</formula1>
      <formula2>1E+33</formula2>
    </dataValidation>
    <dataValidation type="whole" allowBlank="1" showInputMessage="1" showErrorMessage="1" promptTitle="BRUTO SIN PARTIDAS NO GRAVADAS" prompt="Ingresá tu SUELDO NOMINAL restandole al mismo las partidas no gravadas por el B.P.S. Por ejemplo: TICKETS ALIMENTACIÒN, TICKETS TRANSPORTE,  SEGUNDO AGUINALDO y otros, (ver hoja GUIA TRABAJADOR, punto 3). &#10;Ingresá el monto sin decimales, puntos o comas." errorTitle="Dato no válido" error="Debes ingresar un número entero, sin decimilas, ni comas ni puntos." sqref="G12">
      <formula1>0</formula1>
      <formula2>1E+33</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VER HOJA GUIA TRABAJADOR, punto 3). Ingresalo sin decimales, puntos o comas." errorTitle="Dato no válido" error="Debes ingresar un número entero, sin decimilas, ni comas ni puntos." sqref="G9">
      <formula1>0</formula1>
      <formula2>1E+33</formula2>
    </dataValidation>
    <dataValidation type="whole" allowBlank="1" showInputMessage="1" showErrorMessage="1" promptTitle="APORTES a CAJA de PROFESIONALES " prompt="Ingresar el aporte mensual a la CAJA DE JUBILACIONES y PENSIONES DE PROFESIONALES UNIVERSITARIOS." errorTitle="Dato no válido" error="Debe ingresar un número entero." sqref="C21">
      <formula1>1</formula1>
      <formula2>1000000000000000000</formula2>
    </dataValidation>
    <dataValidation type="whole" allowBlank="1" showInputMessage="1" showErrorMessage="1" promptTitle="REINTEGROS CAJA PROFESIONAL" prompt="Ingresar el importe mensual de los REINTEGROS de CAJA DE JUBILACIONES Y PENSIONES DE PROFESIONALES UNIVERSITARIOS." errorTitle="Dato no válido" error="Ingresar un número entero, sin puntos ni comas." sqref="F21">
      <formula1>1</formula1>
      <formula2>10000000000000000000</formula2>
    </dataValidation>
    <dataValidation type="whole" allowBlank="1" showInputMessage="1" showErrorMessage="1" promptTitle="FONDO DE SOLIDARIDAD" prompt="Ingresar la cifra anual que se paga por concepto de Fondo de Solidaridad. En caso de los Técnicos de Administración es la mitad de una B.P.C." errorTitle="Dato no válido" error="Debe ingresar un número entero." sqref="C20">
      <formula1>1</formula1>
      <formula2>1000000000000000000</formula2>
    </dataValidation>
    <dataValidation type="whole" allowBlank="1" showInputMessage="1" showErrorMessage="1" promptTitle="ADICIONAL F.de SOLIDARIDAD" prompt="Ingresar el importe anual por concepto de adicional del FONDO de SOLIDARIDAD" errorTitle="Dato no válido" error="Ingresar un número entero" sqref="F20">
      <formula1>1</formula1>
      <formula2>10000000000000000000</formula2>
    </dataValidation>
    <dataValidation type="whole" allowBlank="1" showInputMessage="1" showErrorMessage="1" promptTitle="MULTIEMPLEO PUBLICO" prompt="Registrar un sueldo por empresa y por celda." errorTitle="Dato no válidoc" error="Debes ingresar un número entero, sin puntos ni comas." sqref="D9:E9">
      <formula1>0</formula1>
      <formula2>1000000000000000000</formula2>
    </dataValidation>
    <dataValidation type="whole" allowBlank="1" showInputMessage="1" showErrorMessage="1" promptTitle="MULTIEMPLEO PRIVADO" prompt="Registrar un sueldo por empresa y por celda." errorTitle="Dato no válido" error="Tienes que ingresar un número entero, sin puntos ni comas." sqref="B12:F12">
      <formula1>0</formula1>
      <formula2>1E+22</formula2>
    </dataValidation>
    <dataValidation type="whole" allowBlank="1" showInputMessage="1" showErrorMessage="1" promptTitle="MULTI-JUBILACIÓN" prompt="Registrar una jubilación por celda." errorTitle="Dato no válido" error="Ingresar un número entero, sin comas ni puntos." sqref="D25:E25">
      <formula1>0</formula1>
      <formula2>1000000000000000000</formula2>
    </dataValidation>
    <dataValidation type="whole" allowBlank="1" showInputMessage="1" showErrorMessage="1" promptTitle="MULTI-PENSIÓN" prompt="Ingresar una pensión por celda" errorTitle="Dato no válido" error="Ingresar un número entero, sin puntos ni comas." sqref="D29:E29">
      <formula1>0</formula1>
      <formula2>10000000000000000</formula2>
    </dataValidation>
    <dataValidation type="whole" allowBlank="1" showInputMessage="1" showErrorMessage="1" promptTitle="REGIMEN NUEVO O DE TRANSICIÓN" prompt="Se debe marcar 1 en caso de NUEVO REGIMEN.&#10;Se debe marcar 2 en caso de REGIMEN de TRANSICIÓN." errorTitle="Dato no válido" error="Solo se puede ingresar el valor 1 o el valor 2" sqref="G7">
      <formula1>1</formula1>
      <formula2>2</formula2>
    </dataValidation>
    <dataValidation type="whole" allowBlank="1" showInputMessage="1" showErrorMessage="1" sqref="F46:G46">
      <formula1>0</formula1>
      <formula2>10000000000000000</formula2>
    </dataValidation>
    <dataValidation type="whole" allowBlank="1" showInputMessage="1" showErrorMessage="1" sqref="G27">
      <formula1>0</formula1>
      <formula2>1E+37</formula2>
    </dataValidation>
    <dataValidation type="whole" allowBlank="1" showInputMessage="1" showErrorMessage="1" promptTitle="SUELDO NOMINAL" prompt="DEBE INGRESAR EL SUELDO NOMINAL SIN RESTAR NINGUNA PARTIDA. (VER GUIA TRABAJADOR)" errorTitle="Dato no válido" error="Debe ingresar un número entero, sin comas ni puntos." sqref="G4">
      <formula1>0</formula1>
      <formula2>1E+23</formula2>
    </dataValidation>
    <dataValidation type="whole" allowBlank="1" showInputMessage="1" showErrorMessage="1" promptTitle="HIJOS MENORES DE 18 AÑOS" prompt="DIGITÁ AQUÍ DONDE ESTAS POSICIONADO, 1 SI TENES HIJOS MENORES DE 18 AÑOS O DISCAPACITADOS DE CUALQUIER EDAD A TU CARGO. DE LO CONTRARIO DIGITAR 0." errorTitle="Dato no válido" error="Solo podrás ingresar 1 o 0." sqref="G6">
      <formula1>0</formula1>
      <formula2>1</formula2>
    </dataValidation>
    <dataValidation type="whole" allowBlank="1" showInputMessage="1" showErrorMessage="1" promptTitle="B.P.C." prompt="Ingresar el valor de la BASE de PRESTACIONES y CONTRIBUCIONES. Ingresar el valor vigente, decretado por el Poder Ejecutivo. Varía en cada ocación de aumento de salarios a los funcionarios públicos." errorTitle="Dato no válido" error="Ingresar una cifra entera, sin decimales ni puntos ni comas." sqref="E122">
      <formula1>0</formula1>
      <formula2>1000000000000</formula2>
    </dataValidation>
    <dataValidation type="decimal" allowBlank="1" showInputMessage="1" showErrorMessage="1" promptTitle="TOPE CUOTA MUTUAL" prompt="Ingresar en esta celda el valor establecido por el Poder Ejecutivo, que hace de tope para poseer el derecho a la cuota mutual, para aquellas personas que se jubilaron como empleados en su última actividad laboral." errorTitle="Dato no válido" error="Debe ingresar un número con hasta dos decimales." sqref="E128">
      <formula1>0</formula1>
      <formula2>10000000000000</formula2>
    </dataValidation>
    <dataValidation allowBlank="1" showInputMessage="1" showErrorMessage="1" promptTitle="TOPE TERCER NIVEL, LEY 16713" prompt="Establecer el valor que fija el Poder Ejecutivo, como tope del aporte personal jubilatorio, para aquellas personas que están dentro del nuevo régimen, (solidaridad intergeneracional y AFAP)" sqref="E131"/>
  </dataValidations>
  <printOptions/>
  <pageMargins left="0.75" right="0.75" top="1" bottom="1" header="0" footer="0"/>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3:G131"/>
  <sheetViews>
    <sheetView workbookViewId="0" topLeftCell="B3">
      <selection activeCell="C20" sqref="C20"/>
    </sheetView>
  </sheetViews>
  <sheetFormatPr defaultColWidth="11.421875" defaultRowHeight="12.75"/>
  <cols>
    <col min="1" max="1" width="17.28125" style="0" hidden="1" customWidth="1"/>
    <col min="2" max="2" width="18.140625" style="0" customWidth="1"/>
    <col min="3" max="3" width="15.57421875" style="0" customWidth="1"/>
    <col min="4" max="4" width="17.421875" style="0" customWidth="1"/>
    <col min="5" max="5" width="19.57421875" style="0" customWidth="1"/>
    <col min="6" max="6" width="13.00390625" style="0" customWidth="1"/>
    <col min="7" max="7" width="18.8515625" style="0" customWidth="1"/>
  </cols>
  <sheetData>
    <row r="1" ht="12.75" hidden="1"/>
    <row r="2" ht="13.5" hidden="1" thickBot="1"/>
    <row r="3" spans="3:5" ht="27" thickBot="1" thickTop="1">
      <c r="C3" s="478" t="s">
        <v>27</v>
      </c>
      <c r="D3" s="479"/>
      <c r="E3" s="480"/>
    </row>
    <row r="4" spans="2:7" ht="21.75" thickBot="1" thickTop="1">
      <c r="B4" s="481" t="s">
        <v>33</v>
      </c>
      <c r="C4" s="482"/>
      <c r="D4" s="482"/>
      <c r="E4" s="482"/>
      <c r="F4" s="483"/>
      <c r="G4" s="273"/>
    </row>
    <row r="5" spans="2:7" ht="24" hidden="1" thickBot="1" thickTop="1">
      <c r="B5" s="11"/>
      <c r="C5" s="11"/>
      <c r="D5" s="11"/>
      <c r="E5" s="23"/>
      <c r="F5" s="11"/>
      <c r="G5" s="274"/>
    </row>
    <row r="6" spans="2:7" ht="30" customHeight="1" thickBot="1" thickTop="1">
      <c r="B6" s="484" t="s">
        <v>102</v>
      </c>
      <c r="C6" s="485"/>
      <c r="D6" s="485"/>
      <c r="E6" s="485"/>
      <c r="F6" s="486"/>
      <c r="G6" s="275"/>
    </row>
    <row r="7" spans="2:7" ht="30" customHeight="1" thickBot="1">
      <c r="B7" s="487" t="s">
        <v>103</v>
      </c>
      <c r="C7" s="488"/>
      <c r="D7" s="488"/>
      <c r="E7" s="488"/>
      <c r="F7" s="489"/>
      <c r="G7" s="276"/>
    </row>
    <row r="8" spans="2:7" ht="30" customHeight="1" thickBot="1" thickTop="1">
      <c r="B8" s="466" t="s">
        <v>57</v>
      </c>
      <c r="C8" s="467"/>
      <c r="D8" s="467"/>
      <c r="E8" s="467"/>
      <c r="F8" s="468"/>
      <c r="G8" s="162"/>
    </row>
    <row r="9" spans="1:7" ht="21.75" thickBot="1" thickTop="1">
      <c r="A9" s="293">
        <f>D9+E9+G9</f>
        <v>0</v>
      </c>
      <c r="B9" s="48"/>
      <c r="C9" s="48"/>
      <c r="D9" s="151"/>
      <c r="E9" s="152"/>
      <c r="F9" s="48"/>
      <c r="G9" s="153"/>
    </row>
    <row r="10" spans="2:7" ht="21.75" hidden="1" thickBot="1">
      <c r="B10" s="144"/>
      <c r="C10" s="48"/>
      <c r="D10" s="48"/>
      <c r="E10" s="48"/>
      <c r="F10" s="48"/>
      <c r="G10" s="12"/>
    </row>
    <row r="11" spans="2:7" ht="30" customHeight="1" thickBot="1" thickTop="1">
      <c r="B11" s="469" t="s">
        <v>63</v>
      </c>
      <c r="C11" s="470"/>
      <c r="D11" s="470"/>
      <c r="E11" s="470"/>
      <c r="F11" s="471"/>
      <c r="G11" s="162"/>
    </row>
    <row r="12" spans="1:7" ht="21.75" thickBot="1" thickTop="1">
      <c r="A12" s="293">
        <f>B12+C12+D12+E12+F12+G12</f>
        <v>0</v>
      </c>
      <c r="B12" s="141"/>
      <c r="C12" s="140"/>
      <c r="D12" s="141"/>
      <c r="E12" s="140"/>
      <c r="F12" s="142"/>
      <c r="G12" s="131"/>
    </row>
    <row r="13" spans="2:7" ht="26.25" thickBot="1">
      <c r="B13" s="472" t="s">
        <v>27</v>
      </c>
      <c r="C13" s="473"/>
      <c r="D13" s="473"/>
      <c r="E13" s="473"/>
      <c r="F13" s="474"/>
      <c r="G13" s="162"/>
    </row>
    <row r="14" spans="2:7" ht="21.75" thickBot="1" thickTop="1">
      <c r="B14" s="475" t="s">
        <v>60</v>
      </c>
      <c r="C14" s="476"/>
      <c r="D14" s="476"/>
      <c r="E14" s="476"/>
      <c r="F14" s="477"/>
      <c r="G14" s="127"/>
    </row>
    <row r="15" spans="2:7" ht="21.75" hidden="1" thickBot="1" thickTop="1">
      <c r="B15" s="145"/>
      <c r="C15" s="277"/>
      <c r="D15" s="277"/>
      <c r="E15" s="277"/>
      <c r="F15" s="277"/>
      <c r="G15" s="128"/>
    </row>
    <row r="16" spans="2:7" ht="30" customHeight="1" thickBot="1" thickTop="1">
      <c r="B16" s="460" t="s">
        <v>61</v>
      </c>
      <c r="C16" s="461"/>
      <c r="D16" s="461"/>
      <c r="E16" s="461"/>
      <c r="F16" s="462"/>
      <c r="G16" s="173"/>
    </row>
    <row r="17" spans="2:7" ht="21.75" hidden="1" thickBot="1" thickTop="1">
      <c r="B17" s="150"/>
      <c r="C17" s="150"/>
      <c r="D17" s="150"/>
      <c r="E17" s="150"/>
      <c r="F17" s="150"/>
      <c r="G17" s="129"/>
    </row>
    <row r="18" spans="2:7" ht="27" thickBot="1" thickTop="1">
      <c r="B18" s="453" t="s">
        <v>27</v>
      </c>
      <c r="C18" s="454"/>
      <c r="D18" s="454"/>
      <c r="E18" s="454"/>
      <c r="F18" s="455"/>
      <c r="G18" s="162"/>
    </row>
    <row r="19" spans="2:7" ht="18" thickBot="1" thickTop="1">
      <c r="B19" s="463" t="s">
        <v>43</v>
      </c>
      <c r="C19" s="464"/>
      <c r="D19" s="464"/>
      <c r="E19" s="464"/>
      <c r="F19" s="465"/>
      <c r="G19" s="163"/>
    </row>
    <row r="20" spans="2:7" ht="28.5" thickBot="1" thickTop="1">
      <c r="B20" s="174" t="s">
        <v>32</v>
      </c>
      <c r="C20" s="175"/>
      <c r="D20" s="26"/>
      <c r="E20" s="177" t="s">
        <v>34</v>
      </c>
      <c r="F20" s="175"/>
      <c r="G20" s="162"/>
    </row>
    <row r="21" spans="2:7" ht="24" thickBot="1" thickTop="1">
      <c r="B21" s="176" t="s">
        <v>55</v>
      </c>
      <c r="C21" s="175"/>
      <c r="D21" s="26"/>
      <c r="E21" s="178" t="s">
        <v>56</v>
      </c>
      <c r="F21" s="175"/>
      <c r="G21" s="162"/>
    </row>
    <row r="22" spans="2:7" ht="21.75" hidden="1" thickBot="1">
      <c r="B22" s="26"/>
      <c r="C22" s="26"/>
      <c r="D22" s="26"/>
      <c r="E22" s="25"/>
      <c r="F22" s="25"/>
      <c r="G22" s="162"/>
    </row>
    <row r="23" spans="2:7" ht="27" hidden="1" thickBot="1" thickTop="1">
      <c r="B23" s="26"/>
      <c r="C23" s="453" t="s">
        <v>28</v>
      </c>
      <c r="D23" s="454"/>
      <c r="E23" s="455"/>
      <c r="F23" s="25"/>
      <c r="G23" s="162"/>
    </row>
    <row r="24" spans="2:7" ht="18" hidden="1" thickBot="1" thickTop="1">
      <c r="B24" s="450" t="s">
        <v>58</v>
      </c>
      <c r="C24" s="451"/>
      <c r="D24" s="451"/>
      <c r="E24" s="451"/>
      <c r="F24" s="451"/>
      <c r="G24" s="452"/>
    </row>
    <row r="25" spans="1:7" ht="22.5" hidden="1" thickBot="1" thickTop="1">
      <c r="A25" s="294">
        <f>D25+E25+G25</f>
        <v>0</v>
      </c>
      <c r="B25" s="19"/>
      <c r="C25" s="19"/>
      <c r="D25" s="146"/>
      <c r="E25" s="147"/>
      <c r="F25" s="19"/>
      <c r="G25" s="147"/>
    </row>
    <row r="26" spans="2:7" ht="25.5" hidden="1" thickBot="1">
      <c r="B26" s="19"/>
      <c r="C26" s="19"/>
      <c r="D26" s="19"/>
      <c r="E26" s="19"/>
      <c r="F26" s="19"/>
      <c r="G26" s="278"/>
    </row>
    <row r="27" spans="2:7" ht="27" hidden="1" thickBot="1" thickTop="1">
      <c r="B27" s="19"/>
      <c r="C27" s="453" t="s">
        <v>29</v>
      </c>
      <c r="D27" s="454"/>
      <c r="E27" s="455"/>
      <c r="F27" s="19"/>
      <c r="G27" s="161"/>
    </row>
    <row r="28" spans="2:7" ht="18" hidden="1" thickBot="1" thickTop="1">
      <c r="B28" s="450" t="s">
        <v>59</v>
      </c>
      <c r="C28" s="451"/>
      <c r="D28" s="451"/>
      <c r="E28" s="451"/>
      <c r="F28" s="451"/>
      <c r="G28" s="452"/>
    </row>
    <row r="29" spans="1:7" ht="22.5" hidden="1" thickBot="1" thickTop="1">
      <c r="A29" s="294">
        <f>D29+E29+G29</f>
        <v>0</v>
      </c>
      <c r="B29" s="19"/>
      <c r="C29" s="19"/>
      <c r="D29" s="148"/>
      <c r="E29" s="148"/>
      <c r="F29" s="139"/>
      <c r="G29" s="148"/>
    </row>
    <row r="30" spans="2:7" ht="17.25" hidden="1" thickBot="1">
      <c r="B30" s="25"/>
      <c r="C30" s="25"/>
      <c r="D30" s="25"/>
      <c r="E30" s="25"/>
      <c r="F30" s="24"/>
      <c r="G30" s="24"/>
    </row>
    <row r="31" spans="2:7" ht="24.75" thickBot="1" thickTop="1">
      <c r="B31" s="456" t="s">
        <v>104</v>
      </c>
      <c r="C31" s="457"/>
      <c r="D31" s="457"/>
      <c r="E31" s="458"/>
      <c r="F31" s="459"/>
      <c r="G31" s="459"/>
    </row>
    <row r="32" spans="2:7" ht="17.25" thickBot="1" thickTop="1">
      <c r="B32" s="154" t="s">
        <v>5</v>
      </c>
      <c r="C32" s="154" t="s">
        <v>8</v>
      </c>
      <c r="D32" s="155" t="s">
        <v>9</v>
      </c>
      <c r="E32" s="154" t="s">
        <v>88</v>
      </c>
      <c r="F32" s="51"/>
      <c r="G32" s="130" t="s">
        <v>5</v>
      </c>
    </row>
    <row r="33" spans="1:7" ht="16.5" thickBot="1">
      <c r="A33">
        <f>G33</f>
        <v>13608</v>
      </c>
      <c r="B33" s="60" t="s">
        <v>105</v>
      </c>
      <c r="C33" s="61">
        <f>G33</f>
        <v>13608</v>
      </c>
      <c r="D33" s="62">
        <v>0</v>
      </c>
      <c r="E33" s="63">
        <f aca="true" t="shared" si="0" ref="E33:E38">C33*D33</f>
        <v>0</v>
      </c>
      <c r="G33" s="55">
        <f>7*Parámetros!E32</f>
        <v>13608</v>
      </c>
    </row>
    <row r="34" spans="1:7" ht="16.5" thickBot="1">
      <c r="A34">
        <f>IF(C52&gt;=G34,G34-G33,C52-G33)</f>
        <v>-13608</v>
      </c>
      <c r="B34" s="64" t="s">
        <v>106</v>
      </c>
      <c r="C34" s="65">
        <f>IF(A34&lt;=0,0,A34)</f>
        <v>0</v>
      </c>
      <c r="D34" s="66">
        <v>0.1</v>
      </c>
      <c r="E34" s="67">
        <f t="shared" si="0"/>
        <v>0</v>
      </c>
      <c r="G34" s="56">
        <f>10*Parámetros!E32</f>
        <v>19440</v>
      </c>
    </row>
    <row r="35" spans="1:7" ht="16.5" thickBot="1">
      <c r="A35">
        <f>IF(C52&gt;=G35,G35-G34,C52-G34)</f>
        <v>-19440</v>
      </c>
      <c r="B35" s="68" t="s">
        <v>3</v>
      </c>
      <c r="C35" s="69">
        <f>IF(A35&lt;=0,0,A35)</f>
        <v>0</v>
      </c>
      <c r="D35" s="70">
        <v>0.15</v>
      </c>
      <c r="E35" s="71">
        <f t="shared" si="0"/>
        <v>0</v>
      </c>
      <c r="G35" s="57">
        <f>15*Parámetros!E32</f>
        <v>29160</v>
      </c>
    </row>
    <row r="36" spans="1:7" ht="16.5" thickBot="1">
      <c r="A36">
        <f>IF(C52&gt;=G36,G36-G35,C52-G35)</f>
        <v>-29160</v>
      </c>
      <c r="B36" s="72" t="s">
        <v>13</v>
      </c>
      <c r="C36" s="73">
        <f>IF(A36&lt;=0,0,A36)</f>
        <v>0</v>
      </c>
      <c r="D36" s="74">
        <v>0.2</v>
      </c>
      <c r="E36" s="75">
        <f t="shared" si="0"/>
        <v>0</v>
      </c>
      <c r="G36" s="58">
        <f>50*Parámetros!E32</f>
        <v>97200</v>
      </c>
    </row>
    <row r="37" spans="1:7" ht="16.5" thickBot="1">
      <c r="A37">
        <f>IF(C52&gt;=G37,G37-G36,C52-G36)</f>
        <v>-97200</v>
      </c>
      <c r="B37" s="76" t="s">
        <v>14</v>
      </c>
      <c r="C37" s="77">
        <f>IF(A37&lt;=0,0,A37)</f>
        <v>0</v>
      </c>
      <c r="D37" s="78">
        <v>0.22</v>
      </c>
      <c r="E37" s="79">
        <f t="shared" si="0"/>
        <v>0</v>
      </c>
      <c r="G37" s="59">
        <f>100*Parámetros!E32</f>
        <v>194400</v>
      </c>
    </row>
    <row r="38" spans="1:5" ht="16.5" thickBot="1">
      <c r="A38">
        <f>IF(C52&gt;G37,C52-G37,0)</f>
        <v>0</v>
      </c>
      <c r="B38" s="80" t="s">
        <v>15</v>
      </c>
      <c r="C38" s="279">
        <f>IF(A38&lt;=0,0,A38)</f>
        <v>0</v>
      </c>
      <c r="D38" s="280">
        <v>0.25</v>
      </c>
      <c r="E38" s="149">
        <f t="shared" si="0"/>
        <v>0</v>
      </c>
    </row>
    <row r="39" spans="3:7" ht="21.75" thickBot="1" thickTop="1">
      <c r="C39" s="442" t="s">
        <v>40</v>
      </c>
      <c r="D39" s="443"/>
      <c r="E39" s="281">
        <f>SUM(E34:E38)</f>
        <v>0</v>
      </c>
      <c r="F39" s="444"/>
      <c r="G39" s="444"/>
    </row>
    <row r="40" spans="3:7" ht="23.25" hidden="1" thickBot="1" thickTop="1">
      <c r="C40" s="283"/>
      <c r="D40" s="283"/>
      <c r="E40" s="284"/>
      <c r="F40" s="282"/>
      <c r="G40" s="282"/>
    </row>
    <row r="41" spans="2:7" ht="34.5" thickBot="1" thickTop="1">
      <c r="B41" s="445" t="s">
        <v>107</v>
      </c>
      <c r="C41" s="446"/>
      <c r="D41" s="446"/>
      <c r="E41" s="447"/>
      <c r="F41" s="448">
        <f>C51</f>
        <v>0</v>
      </c>
      <c r="G41" s="449"/>
    </row>
    <row r="42" spans="2:7" ht="21.75" hidden="1">
      <c r="B42" s="285"/>
      <c r="C42" s="286" t="s">
        <v>108</v>
      </c>
      <c r="D42" s="286"/>
      <c r="E42" s="287"/>
      <c r="F42" s="288"/>
      <c r="G42" s="288"/>
    </row>
    <row r="43" spans="3:7" ht="22.5" hidden="1" thickBot="1">
      <c r="C43" s="283"/>
      <c r="D43" s="283"/>
      <c r="E43" s="284"/>
      <c r="F43" s="282"/>
      <c r="G43" s="282"/>
    </row>
    <row r="44" spans="2:7" ht="39" thickBot="1" thickTop="1">
      <c r="B44" s="289" t="s">
        <v>104</v>
      </c>
      <c r="C44" s="433">
        <f>IF(E39-C119&lt;0,0,E39-C119)</f>
        <v>0</v>
      </c>
      <c r="D44" s="434"/>
      <c r="E44" s="290" t="s">
        <v>109</v>
      </c>
      <c r="F44" s="435">
        <f>C50</f>
        <v>0</v>
      </c>
      <c r="G44" s="436"/>
    </row>
    <row r="45" spans="6:7" ht="19.5" hidden="1" thickBot="1" thickTop="1">
      <c r="F45" s="27"/>
      <c r="G45" s="22"/>
    </row>
    <row r="46" spans="2:7" ht="42.75" hidden="1" thickBot="1" thickTop="1">
      <c r="B46" s="437" t="s">
        <v>30</v>
      </c>
      <c r="C46" s="438"/>
      <c r="D46" s="438"/>
      <c r="E46" s="439"/>
      <c r="F46" s="440" t="e">
        <f>E44-C55</f>
        <v>#VALUE!</v>
      </c>
      <c r="G46" s="441"/>
    </row>
    <row r="47" spans="3:7" ht="14.25" hidden="1" thickBot="1" thickTop="1">
      <c r="C47" s="1"/>
      <c r="G47" s="3"/>
    </row>
    <row r="48" spans="2:3" ht="16.5" hidden="1" thickBot="1">
      <c r="B48" s="41" t="s">
        <v>37</v>
      </c>
      <c r="C48" s="42">
        <f>IF(A12&gt;0,A12*0.125%,0)</f>
        <v>0</v>
      </c>
    </row>
    <row r="49" spans="2:6" ht="16.5" hidden="1" thickBot="1">
      <c r="B49" s="38" t="s">
        <v>120</v>
      </c>
      <c r="C49" s="40">
        <f>IF(A9&lt;=0,A12,A12+A9)</f>
        <v>0</v>
      </c>
      <c r="E49" s="428" t="s">
        <v>7</v>
      </c>
      <c r="F49" s="429"/>
    </row>
    <row r="50" spans="2:7" ht="16.5" hidden="1" thickBot="1">
      <c r="B50" s="39" t="s">
        <v>109</v>
      </c>
      <c r="C50" s="43">
        <f>IF(C49&lt;=G55,C49*3%,IF(G6&gt;0,C49*6%,C49*4.5%))</f>
        <v>0</v>
      </c>
      <c r="D50" s="172" t="s">
        <v>62</v>
      </c>
      <c r="E50" s="6">
        <v>0</v>
      </c>
      <c r="F50" s="20">
        <f>3*F55</f>
        <v>5832</v>
      </c>
      <c r="G50" s="168">
        <f>(F50+2)*1.02</f>
        <v>5950.68</v>
      </c>
    </row>
    <row r="51" spans="2:7" ht="16.5" hidden="1" thickBot="1">
      <c r="B51" s="96" t="s">
        <v>0</v>
      </c>
      <c r="C51" s="97">
        <f>E94</f>
        <v>0</v>
      </c>
      <c r="D51" s="42">
        <f>C51+C50+C48</f>
        <v>0</v>
      </c>
      <c r="E51" s="7">
        <v>0.02</v>
      </c>
      <c r="F51" s="21">
        <f>6*F55</f>
        <v>11664</v>
      </c>
      <c r="G51" s="168">
        <f>(F51+35)*1.06</f>
        <v>12400.94</v>
      </c>
    </row>
    <row r="52" spans="2:7" ht="16.5" hidden="1" thickBot="1">
      <c r="B52" s="90" t="s">
        <v>121</v>
      </c>
      <c r="C52" s="91">
        <f>G4</f>
        <v>0</v>
      </c>
      <c r="E52" s="8">
        <v>0.06</v>
      </c>
      <c r="F52" s="171">
        <f>(F55*6)+1</f>
        <v>11665</v>
      </c>
      <c r="G52" s="168">
        <f>(F51+4)*1.02</f>
        <v>11901.36</v>
      </c>
    </row>
    <row r="53" spans="2:7" ht="16.5" hidden="1" thickBot="1">
      <c r="B53" s="92" t="s">
        <v>41</v>
      </c>
      <c r="C53" s="93">
        <f>A25</f>
        <v>0</v>
      </c>
      <c r="E53" s="169"/>
      <c r="F53" s="170"/>
      <c r="G53" s="1"/>
    </row>
    <row r="54" spans="2:7" ht="16.5" hidden="1" thickBot="1">
      <c r="B54" s="94" t="s">
        <v>42</v>
      </c>
      <c r="C54" s="95">
        <f>A29</f>
        <v>0</v>
      </c>
      <c r="D54" s="291">
        <f>C53+C54</f>
        <v>0</v>
      </c>
      <c r="F54" s="2"/>
      <c r="G54" s="291" t="s">
        <v>110</v>
      </c>
    </row>
    <row r="55" spans="2:7" ht="21" hidden="1" thickBot="1">
      <c r="B55" s="98" t="s">
        <v>36</v>
      </c>
      <c r="C55" s="99" t="e">
        <f>#REF!+F44</f>
        <v>#REF!</v>
      </c>
      <c r="E55" s="35" t="s">
        <v>4</v>
      </c>
      <c r="F55" s="89">
        <f>Parámetros!E32</f>
        <v>1944</v>
      </c>
      <c r="G55" s="292">
        <f>2.5*F55</f>
        <v>4860</v>
      </c>
    </row>
    <row r="56" spans="2:3" ht="18.75" hidden="1" thickBot="1">
      <c r="B56" s="158" t="s">
        <v>54</v>
      </c>
      <c r="C56" s="159">
        <f>C48+C50+C51</f>
        <v>0</v>
      </c>
    </row>
    <row r="57" ht="13.5" hidden="1" thickBot="1"/>
    <row r="58" spans="2:5" ht="18.75" hidden="1" thickBot="1">
      <c r="B58" s="374" t="s">
        <v>12</v>
      </c>
      <c r="C58" s="375"/>
      <c r="D58" s="375"/>
      <c r="E58" s="376"/>
    </row>
    <row r="59" spans="2:7" ht="15.75" hidden="1" thickBot="1">
      <c r="B59" s="10" t="s">
        <v>5</v>
      </c>
      <c r="C59" s="9" t="s">
        <v>8</v>
      </c>
      <c r="D59" s="10" t="s">
        <v>9</v>
      </c>
      <c r="E59" s="10" t="s">
        <v>88</v>
      </c>
      <c r="G59" s="165"/>
    </row>
    <row r="60" spans="1:7" ht="12.75" hidden="1">
      <c r="A60">
        <f>G60</f>
        <v>15552</v>
      </c>
      <c r="B60" s="28" t="s">
        <v>111</v>
      </c>
      <c r="C60" s="13">
        <f>'[1]DEDUCCIONES'!D29*5</f>
        <v>0</v>
      </c>
      <c r="D60" s="4">
        <v>0</v>
      </c>
      <c r="E60" s="16">
        <f>C60*D60</f>
        <v>0</v>
      </c>
      <c r="G60" s="298">
        <f>8*Parámetros!E32</f>
        <v>15552</v>
      </c>
    </row>
    <row r="61" spans="1:7" ht="12.75" hidden="1">
      <c r="A61">
        <f>IF(D54&gt;=G61,G60,D54-G60)</f>
        <v>-15552</v>
      </c>
      <c r="B61" s="29" t="s">
        <v>112</v>
      </c>
      <c r="C61" s="14">
        <f>IF(A36&lt;=0,0,A36)</f>
        <v>0</v>
      </c>
      <c r="D61" s="5">
        <v>0.1</v>
      </c>
      <c r="E61" s="17">
        <f>C61*D61</f>
        <v>0</v>
      </c>
      <c r="G61" s="299">
        <f>15*Parámetros!E32</f>
        <v>29160</v>
      </c>
    </row>
    <row r="62" spans="1:7" ht="13.5" hidden="1" thickBot="1">
      <c r="A62">
        <f>IF(D54&gt;=G62,G60,D54-G61)</f>
        <v>-29160</v>
      </c>
      <c r="B62" s="29" t="s">
        <v>16</v>
      </c>
      <c r="C62" s="15">
        <f>IF(A37&lt;=0,0,A37)</f>
        <v>0</v>
      </c>
      <c r="D62" s="5">
        <v>0.15</v>
      </c>
      <c r="E62" s="17">
        <f>C62*D62</f>
        <v>0</v>
      </c>
      <c r="G62" s="300">
        <f>50*Parámetros!E32</f>
        <v>97200</v>
      </c>
    </row>
    <row r="63" spans="1:7" ht="13.5" hidden="1" thickBot="1">
      <c r="A63">
        <f>IF(D54&gt;G62,D54-G62,0)</f>
        <v>0</v>
      </c>
      <c r="B63" s="30" t="s">
        <v>17</v>
      </c>
      <c r="C63" s="31">
        <f>IF(A38&lt;=0,0,A38)</f>
        <v>0</v>
      </c>
      <c r="D63" s="32">
        <v>0.25</v>
      </c>
      <c r="E63" s="33">
        <f>C63*D63</f>
        <v>0</v>
      </c>
      <c r="G63" s="166"/>
    </row>
    <row r="64" spans="3:7" ht="18.75" hidden="1" thickBot="1">
      <c r="C64" s="374" t="s">
        <v>6</v>
      </c>
      <c r="D64" s="376"/>
      <c r="E64" s="18">
        <f>SUM(E61:E62)</f>
        <v>0</v>
      </c>
      <c r="G64" s="166"/>
    </row>
    <row r="65" spans="1:7" ht="12.75" hidden="1">
      <c r="A65" s="295"/>
      <c r="B65" s="295"/>
      <c r="C65" s="27"/>
      <c r="D65" s="27"/>
      <c r="E65" s="296"/>
      <c r="F65" s="295"/>
      <c r="G65" s="297"/>
    </row>
    <row r="66" spans="1:7" ht="12.75" hidden="1">
      <c r="A66" s="295"/>
      <c r="B66" s="295"/>
      <c r="C66" s="27"/>
      <c r="D66" s="27"/>
      <c r="E66" s="296"/>
      <c r="F66" s="295"/>
      <c r="G66" s="297"/>
    </row>
    <row r="67" ht="12.75" hidden="1">
      <c r="G67" s="27"/>
    </row>
    <row r="68" ht="12.75" hidden="1">
      <c r="G68" s="27"/>
    </row>
    <row r="69" ht="13.5" hidden="1" thickBot="1">
      <c r="G69" s="166"/>
    </row>
    <row r="70" spans="2:7" ht="16.5" hidden="1" thickBot="1">
      <c r="B70" s="135" t="s">
        <v>44</v>
      </c>
      <c r="C70" s="136"/>
      <c r="D70" s="137"/>
      <c r="G70" s="167"/>
    </row>
    <row r="71" ht="13.5" hidden="1" thickBot="1">
      <c r="C71" s="132"/>
    </row>
    <row r="72" spans="3:7" ht="13.5" hidden="1" thickBot="1">
      <c r="C72" s="264">
        <f>IF(B12&gt;G51,B12*6%,(IF(B12&lt;=F50,0,IF(AND(B12&gt;F50,B12&lt;=G50),B12*2%-(F50-(B12-(B12*2%))),IF(AND(B12&gt;F51,B12&lt;=G51),B12*6%-(I51-(B12-(B12*6%))),B12*2%)))))</f>
        <v>0</v>
      </c>
      <c r="E72" s="133" t="s">
        <v>46</v>
      </c>
      <c r="G72" s="164"/>
    </row>
    <row r="73" spans="3:7" ht="16.5" hidden="1" thickBot="1">
      <c r="C73" s="264">
        <f>IF(C12&gt;G51,C12*6%,(IF(C12&lt;=F50,0,IF(AND(C12&gt;F50,C12&lt;=G50),C12*2%-(F50-(C12-(C12*2%))),IF(AND(C12&gt;F51,C12&lt;=G51),C12*6%-(I51-(C12-(C12*6%))),C12*2%)))))</f>
        <v>0</v>
      </c>
      <c r="E73" s="93">
        <f>IF(G25&gt;G52,G25*2%,(IF(G25&lt;=F51,0,G25-F51)))+IF(E25&gt;G52,E25*2%,(IF(E25&lt;=F51,0,E25-F51)))+IF(D25&gt;G52,D25*2%,(IF(D25&lt;=F51,0,D25-F51)))</f>
        <v>0</v>
      </c>
      <c r="G73" s="164"/>
    </row>
    <row r="74" spans="3:7" ht="13.5" hidden="1" thickBot="1">
      <c r="C74" s="264">
        <f>IF(D12&gt;G51,D12*6%,(IF(D12&lt;=F50,0,IF(AND(D12&gt;F50,D12&lt;=G50),D12*2%-(F50-(D12-(D12*2%))),IF(AND(D12&gt;F51,D12&lt;=G51),D12*6%-(I51-(D12-(D12*6%))),D12*2%)))))</f>
        <v>0</v>
      </c>
      <c r="G74" s="164"/>
    </row>
    <row r="75" spans="3:5" ht="13.5" hidden="1" thickBot="1">
      <c r="C75" s="264">
        <f>IF(E12&gt;G51,E12*6%,(IF(E12&lt;=F50,0,IF(AND(E12&gt;F50,E12&lt;=G50),E12*2%-(F50-(E12-(E12*2%))),IF(AND(E12&gt;F51,E12&lt;=G51),E12*6%-(I51-(E12-(E12*6%))),E12*2%)))))</f>
        <v>0</v>
      </c>
      <c r="E75" s="134" t="s">
        <v>47</v>
      </c>
    </row>
    <row r="76" spans="3:7" ht="16.5" hidden="1" thickBot="1">
      <c r="C76" s="264">
        <f>IF(F12&gt;G51,F12*6%,(IF(F12&lt;=F50,0,IF(AND(F12&gt;F50,F12&lt;=G50),F12*2%-(F50-(F12-(F12*2%))),IF(AND(F12&gt;F51,F12&lt;=G51),F12*6%-(I51-(F12-(F12*6%))),F12*2%)))))</f>
        <v>0</v>
      </c>
      <c r="E76" s="270">
        <f>IF(G29&gt;G52,G29*2%,(IF(G29&lt;=F51,0,G29-F51)))+IF(E29&gt;G52,E29*2%,(IF(E29&lt;=F51,0,E29-F51)))+IF(D29&gt;G52,D29*2%,(IF(D29&lt;=F51,0,D29-F51)))</f>
        <v>0</v>
      </c>
      <c r="G76" s="164"/>
    </row>
    <row r="77" ht="13.5" hidden="1" thickBot="1">
      <c r="C77" s="264">
        <f>IF(G12&gt;G51,G12*6%,(IF(G12&lt;=F50,0,IF(AND(G12&gt;F50,G12&lt;=G50),G12*2%-(F50-(G12-(G12*2%))),IF(AND(G12&gt;F51,G12&lt;=G51),G12*6%-(I51-(G12-(G12*6%))),G12*2%)))))</f>
        <v>0</v>
      </c>
    </row>
    <row r="78" spans="2:3" ht="18.75" hidden="1" thickBot="1">
      <c r="B78" s="138" t="s">
        <v>45</v>
      </c>
      <c r="C78" s="265">
        <f>SUM(C72:C77)</f>
        <v>0</v>
      </c>
    </row>
    <row r="79" ht="13.5" hidden="1" thickBot="1"/>
    <row r="80" spans="2:4" ht="16.5" hidden="1" thickBot="1">
      <c r="B80" s="430" t="s">
        <v>48</v>
      </c>
      <c r="C80" s="431"/>
      <c r="D80" s="432"/>
    </row>
    <row r="81" ht="12.75" hidden="1">
      <c r="C81" s="266">
        <f>IF(G9&gt;G51,G9*6%,(IF(G9&lt;=F50,0,IF(AND(G9&gt;F50,G9&lt;=G50),G9*2%-(F50-(G9-(G9*2%))),IF(AND(G9&gt;F51,G9&lt;=G51),G9*6%-(I51-(G9-(G9*6%))),G9*2%)))))</f>
        <v>0</v>
      </c>
    </row>
    <row r="82" ht="12.75" hidden="1">
      <c r="C82" s="267">
        <f>IF(E9&gt;G51,E9*6%,(IF(E9&lt;=F50,0,IF(AND(E9&gt;F50,E9&lt;=G50),E9*2%-(F50-(E9-(E9*2%))),IF(AND(E9&gt;F51,E9&lt;=G51),E9*6%-(I51-(E9-(E9*6%))),E9*2%)))))</f>
        <v>0</v>
      </c>
    </row>
    <row r="83" ht="13.5" hidden="1" thickBot="1">
      <c r="C83" s="268">
        <f>IF(D9&gt;G51,D9*6%,(IF(D9&lt;=F50,0,IF(AND(D9&gt;F50,D9&lt;=G50),D9*2%-(F50-(D9-(D9*2%))),IF(AND(D9&gt;F51,D9&lt;=G51),D9*6%-(I51-(D9-(D9*6%))),D9*2%)))))</f>
        <v>0</v>
      </c>
    </row>
    <row r="84" spans="2:3" ht="18.75" hidden="1" thickBot="1">
      <c r="B84" s="143" t="s">
        <v>45</v>
      </c>
      <c r="C84" s="269">
        <f>SUM(C81:C83)</f>
        <v>0</v>
      </c>
    </row>
    <row r="85" ht="12.75" hidden="1"/>
    <row r="86" ht="12.75" hidden="1"/>
    <row r="87" ht="12.75" hidden="1"/>
    <row r="88" ht="13.5" hidden="1" thickBot="1"/>
    <row r="89" spans="3:5" ht="13.5" hidden="1" thickBot="1">
      <c r="C89" s="418" t="s">
        <v>49</v>
      </c>
      <c r="D89" s="419"/>
      <c r="E89" s="86">
        <f>Parámetros!E57</f>
        <v>59414</v>
      </c>
    </row>
    <row r="90" ht="13.5" hidden="1" thickBot="1"/>
    <row r="91" spans="4:5" ht="16.5" hidden="1" thickBot="1">
      <c r="D91" s="85" t="s">
        <v>50</v>
      </c>
      <c r="E91" s="156">
        <f>C49*15%</f>
        <v>0</v>
      </c>
    </row>
    <row r="92" spans="4:5" ht="16.5" hidden="1" thickBot="1">
      <c r="D92" s="85" t="s">
        <v>51</v>
      </c>
      <c r="E92" s="156">
        <f>IF(C49&lt;=E89,C49*15%,E89*15%)</f>
        <v>0</v>
      </c>
    </row>
    <row r="93" ht="13.5" hidden="1" thickBot="1">
      <c r="E93" s="1"/>
    </row>
    <row r="94" spans="4:5" ht="18.75" hidden="1" thickBot="1">
      <c r="D94" s="85" t="s">
        <v>53</v>
      </c>
      <c r="E94" s="157">
        <f>IF(G7=1,E92,E91)</f>
        <v>0</v>
      </c>
    </row>
    <row r="95" ht="13.5" hidden="1" thickBot="1"/>
    <row r="96" spans="2:7" ht="27.75" hidden="1" thickBot="1" thickTop="1">
      <c r="B96" s="420" t="s">
        <v>22</v>
      </c>
      <c r="C96" s="421"/>
      <c r="D96" s="421"/>
      <c r="E96" s="421"/>
      <c r="F96" s="421"/>
      <c r="G96" s="184">
        <f>C119</f>
        <v>0</v>
      </c>
    </row>
    <row r="97" ht="13.5" hidden="1" thickBot="1"/>
    <row r="98" spans="2:4" ht="21" hidden="1" thickBot="1">
      <c r="B98" s="397" t="s">
        <v>11</v>
      </c>
      <c r="C98" s="398"/>
      <c r="D98" s="399"/>
    </row>
    <row r="99" spans="2:5" ht="18.75" hidden="1" thickBot="1">
      <c r="B99" s="422" t="s">
        <v>64</v>
      </c>
      <c r="C99" s="423"/>
      <c r="D99" s="424"/>
      <c r="E99" s="215">
        <f>Parámetros!E4</f>
        <v>2106</v>
      </c>
    </row>
    <row r="100" ht="13.5" hidden="1" thickBot="1"/>
    <row r="101" spans="2:4" ht="21" hidden="1" thickBot="1">
      <c r="B101" s="403" t="s">
        <v>11</v>
      </c>
      <c r="C101" s="404"/>
      <c r="D101" s="405"/>
    </row>
    <row r="102" spans="2:5" ht="18.75" hidden="1" thickBot="1">
      <c r="B102" s="425" t="s">
        <v>114</v>
      </c>
      <c r="C102" s="426"/>
      <c r="D102" s="427"/>
      <c r="E102" s="126">
        <f>Parámetros!E9</f>
        <v>4212</v>
      </c>
    </row>
    <row r="103" ht="13.5" hidden="1" thickBot="1"/>
    <row r="104" spans="1:7" ht="16.5" hidden="1" thickBot="1">
      <c r="A104" s="382" t="s">
        <v>23</v>
      </c>
      <c r="B104" s="396"/>
      <c r="C104" s="383"/>
      <c r="E104" s="382" t="s">
        <v>25</v>
      </c>
      <c r="F104" s="396"/>
      <c r="G104" s="383"/>
    </row>
    <row r="105" spans="2:6" ht="18.75" hidden="1" thickBot="1">
      <c r="B105" s="46">
        <f>IF(G5=0,0,(E94+C50+C48+(C20/12)+(F20/12)+C21+F21+(G14*E99)+(G16*E102)))</f>
        <v>0</v>
      </c>
      <c r="E105" s="84">
        <f>IF(A25&gt;E128,A25*1%,A25*3%)</f>
        <v>0</v>
      </c>
      <c r="F105" s="49">
        <f>IF(A25&lt;=0,0,IF(AND(A29&lt;=0,B105&lt;=0),F108,IF(AND(A29&lt;=0,E105&gt;0),E102+E105,F108)))</f>
        <v>0</v>
      </c>
    </row>
    <row r="106" spans="2:6" ht="18.75" hidden="1" thickBot="1">
      <c r="B106" s="87"/>
      <c r="E106" s="88"/>
      <c r="F106" s="49"/>
    </row>
    <row r="107" ht="13.5" hidden="1" thickBot="1"/>
    <row r="108" spans="1:6" ht="16.5" hidden="1" thickBot="1">
      <c r="A108" s="83"/>
      <c r="C108" s="382" t="s">
        <v>26</v>
      </c>
      <c r="D108" s="383"/>
      <c r="E108" s="85">
        <f>IF(G5&lt;=0,(C20/12)+(F20/12)+C21+F21+G14*E99+G16*E102,0)</f>
        <v>0</v>
      </c>
      <c r="F108" s="86">
        <f>E108+E105+E102</f>
        <v>4212</v>
      </c>
    </row>
    <row r="109" spans="3:4" ht="21" hidden="1" thickBot="1">
      <c r="C109" s="384">
        <f>IF(A29&lt;=0,0,IF(AND(A25&lt;=0,B105&lt;=0),F108,IF(AND(A25&lt;=0,B105&gt;0),F108,0)))</f>
        <v>0</v>
      </c>
      <c r="D109" s="385"/>
    </row>
    <row r="110" spans="3:4" ht="21" hidden="1" thickBot="1">
      <c r="C110" s="36"/>
      <c r="D110" s="36"/>
    </row>
    <row r="111" spans="2:5" ht="24" hidden="1" thickBot="1">
      <c r="B111" s="388" t="s">
        <v>35</v>
      </c>
      <c r="C111" s="389"/>
      <c r="D111" s="390"/>
      <c r="E111" s="47">
        <f>B105</f>
        <v>0</v>
      </c>
    </row>
    <row r="112" ht="13.5" hidden="1" thickBot="1"/>
    <row r="113" spans="2:7" ht="13.5" hidden="1" thickBot="1">
      <c r="B113" s="41" t="s">
        <v>5</v>
      </c>
      <c r="C113" s="52" t="s">
        <v>18</v>
      </c>
      <c r="D113" s="41" t="s">
        <v>9</v>
      </c>
      <c r="E113" s="53" t="s">
        <v>88</v>
      </c>
      <c r="G113" s="54" t="s">
        <v>5</v>
      </c>
    </row>
    <row r="114" spans="1:7" ht="15" hidden="1">
      <c r="A114" s="37">
        <f>IF(E111&lt;=G114,E111,G114)</f>
        <v>0</v>
      </c>
      <c r="B114" s="100" t="s">
        <v>115</v>
      </c>
      <c r="C114" s="101">
        <f>IF(A114&lt;=0,0,A114)</f>
        <v>0</v>
      </c>
      <c r="D114" s="102">
        <v>0.1</v>
      </c>
      <c r="E114" s="103">
        <f>C114*D114</f>
        <v>0</v>
      </c>
      <c r="G114" s="122">
        <f>3*Parámetros!E32</f>
        <v>5832</v>
      </c>
    </row>
    <row r="115" spans="1:7" ht="15" hidden="1">
      <c r="A115" s="37">
        <f>IF(E111&gt;=G115,G115-G114,E111-G114)</f>
        <v>-5832</v>
      </c>
      <c r="B115" s="104" t="s">
        <v>116</v>
      </c>
      <c r="C115" s="105">
        <f>IF(A115&lt;=0,0,A115)</f>
        <v>0</v>
      </c>
      <c r="D115" s="106">
        <v>0.15</v>
      </c>
      <c r="E115" s="107">
        <f>C115*D115</f>
        <v>0</v>
      </c>
      <c r="G115" s="123">
        <f>8*Parámetros!E32</f>
        <v>15552</v>
      </c>
    </row>
    <row r="116" spans="1:7" ht="15" hidden="1">
      <c r="A116" s="37">
        <f>IF(E111&gt;=G116,G116-G115,E111-G115)</f>
        <v>-15552</v>
      </c>
      <c r="B116" s="108" t="s">
        <v>117</v>
      </c>
      <c r="C116" s="109">
        <f>IF(A116&lt;=0,0,A116)</f>
        <v>0</v>
      </c>
      <c r="D116" s="110">
        <v>0.2</v>
      </c>
      <c r="E116" s="111">
        <f>C116*D116</f>
        <v>0</v>
      </c>
      <c r="G116" s="124">
        <f>43*Parámetros!E32</f>
        <v>83592</v>
      </c>
    </row>
    <row r="117" spans="1:7" ht="15.75" hidden="1" thickBot="1">
      <c r="A117" s="37">
        <f>IF(E111&gt;=G117,G117-G116,E111-G116)</f>
        <v>-83592</v>
      </c>
      <c r="B117" s="112" t="s">
        <v>118</v>
      </c>
      <c r="C117" s="113">
        <f>IF(A117&lt;=0,0,A117)</f>
        <v>0</v>
      </c>
      <c r="D117" s="114">
        <v>0.22</v>
      </c>
      <c r="E117" s="115">
        <f>C117*D117</f>
        <v>0</v>
      </c>
      <c r="G117" s="125">
        <f>93*Parámetros!E32</f>
        <v>180792</v>
      </c>
    </row>
    <row r="118" spans="1:5" ht="15.75" hidden="1" thickBot="1">
      <c r="A118" s="37">
        <f>IF(E111&gt;G117,E111-G117,0)</f>
        <v>0</v>
      </c>
      <c r="B118" s="116" t="s">
        <v>119</v>
      </c>
      <c r="C118" s="117">
        <f>IF(A118&lt;=0,0,A118)</f>
        <v>0</v>
      </c>
      <c r="D118" s="182">
        <v>0.25</v>
      </c>
      <c r="E118" s="183">
        <f>C118*D118</f>
        <v>0</v>
      </c>
    </row>
    <row r="119" spans="2:5" ht="27" hidden="1" thickBot="1">
      <c r="B119" s="120"/>
      <c r="C119" s="411">
        <f>SUM(E114:E118)</f>
        <v>0</v>
      </c>
      <c r="D119" s="412"/>
      <c r="E119" s="413"/>
    </row>
    <row r="120" ht="12.75" hidden="1"/>
    <row r="121" ht="13.5" hidden="1" thickBot="1"/>
    <row r="122" spans="4:5" ht="24" hidden="1" thickBot="1">
      <c r="D122" s="34" t="s">
        <v>4</v>
      </c>
      <c r="E122" s="81">
        <f>Parámetros!E32</f>
        <v>1944</v>
      </c>
    </row>
    <row r="123" ht="12.75" hidden="1"/>
    <row r="124" ht="13.5" hidden="1" thickBot="1"/>
    <row r="125" spans="3:5" ht="21" hidden="1" thickBot="1">
      <c r="C125" s="391" t="s">
        <v>39</v>
      </c>
      <c r="D125" s="392"/>
      <c r="E125" s="50">
        <f>3*E122</f>
        <v>5832</v>
      </c>
    </row>
    <row r="126" spans="3:5" ht="16.5" hidden="1" thickBot="1">
      <c r="C126" s="414" t="s">
        <v>24</v>
      </c>
      <c r="D126" s="415"/>
      <c r="E126" s="45">
        <f>3*E122+1</f>
        <v>5833</v>
      </c>
    </row>
    <row r="127" ht="13.5" hidden="1" thickBot="1"/>
    <row r="128" spans="3:5" ht="21" hidden="1" thickBot="1">
      <c r="C128" s="416" t="s">
        <v>31</v>
      </c>
      <c r="D128" s="417"/>
      <c r="E128" s="82">
        <f>Parámetros!E45</f>
        <v>5519.29</v>
      </c>
    </row>
    <row r="129" ht="12.75" hidden="1"/>
    <row r="130" ht="13.5" hidden="1" thickBot="1"/>
    <row r="131" spans="3:5" ht="21.75" hidden="1" thickBot="1" thickTop="1">
      <c r="C131" s="409" t="s">
        <v>52</v>
      </c>
      <c r="D131" s="410"/>
      <c r="E131" s="181">
        <f>Parámetros!E57</f>
        <v>59414</v>
      </c>
    </row>
    <row r="132" ht="12.75" hidden="1"/>
    <row r="133" ht="12.75" hidden="1"/>
    <row r="134" ht="12.75" hidden="1"/>
    <row r="135" ht="13.5" thickTop="1"/>
  </sheetData>
  <sheetProtection password="E71E" sheet="1" objects="1" scenarios="1"/>
  <mergeCells count="45">
    <mergeCell ref="C3:E3"/>
    <mergeCell ref="B4:F4"/>
    <mergeCell ref="B6:F6"/>
    <mergeCell ref="B7:F7"/>
    <mergeCell ref="B8:F8"/>
    <mergeCell ref="B11:F11"/>
    <mergeCell ref="B13:F13"/>
    <mergeCell ref="B14:F14"/>
    <mergeCell ref="B16:F16"/>
    <mergeCell ref="B18:F18"/>
    <mergeCell ref="B19:F19"/>
    <mergeCell ref="C23:E23"/>
    <mergeCell ref="B24:G24"/>
    <mergeCell ref="C27:E27"/>
    <mergeCell ref="B28:G28"/>
    <mergeCell ref="B31:E31"/>
    <mergeCell ref="F31:G31"/>
    <mergeCell ref="C39:D39"/>
    <mergeCell ref="F39:G39"/>
    <mergeCell ref="B41:E41"/>
    <mergeCell ref="F41:G41"/>
    <mergeCell ref="C44:D44"/>
    <mergeCell ref="F44:G44"/>
    <mergeCell ref="B46:E46"/>
    <mergeCell ref="F46:G46"/>
    <mergeCell ref="E49:F49"/>
    <mergeCell ref="B58:E58"/>
    <mergeCell ref="C64:D64"/>
    <mergeCell ref="B80:D80"/>
    <mergeCell ref="C89:D89"/>
    <mergeCell ref="B96:F96"/>
    <mergeCell ref="B98:D98"/>
    <mergeCell ref="B99:D99"/>
    <mergeCell ref="B101:D101"/>
    <mergeCell ref="B102:D102"/>
    <mergeCell ref="A104:C104"/>
    <mergeCell ref="E104:G104"/>
    <mergeCell ref="C108:D108"/>
    <mergeCell ref="C109:D109"/>
    <mergeCell ref="B111:D111"/>
    <mergeCell ref="C119:E119"/>
    <mergeCell ref="C125:D125"/>
    <mergeCell ref="C126:D126"/>
    <mergeCell ref="C128:D128"/>
    <mergeCell ref="C131:D131"/>
  </mergeCells>
  <dataValidations count="26">
    <dataValidation type="whole" allowBlank="1" showInputMessage="1" showErrorMessage="1" errorTitle="Dato no válido" error="Solo podrás ingresar números enteros, sin decimales. Tampoco digites puntos o comas." sqref="G14:G19">
      <formula1>0</formula1>
      <formula2>1E+33</formula2>
    </dataValidation>
    <dataValidation type="whole" allowBlank="1" showInputMessage="1" showErrorMessage="1" sqref="G8">
      <formula1>0</formula1>
      <formula2>1E+33</formula2>
    </dataValidation>
    <dataValidation type="whole" allowBlank="1" showInputMessage="1" showErrorMessage="1" promptTitle="PASIVIDAD" prompt="DIGITA AQUÍ DONDE ESTAS PARADO, EL IMPORTE DE TU PASIVIDAD NOMINAL, SIN DECIMALES Y SIN AGREGAR PUNTOS O COMAS. " sqref="G26">
      <formula1>0</formula1>
      <formula2>1E+37</formula2>
    </dataValidation>
    <dataValidation type="whole" allowBlank="1" showInputMessage="1" showErrorMessage="1" promptTitle="SUELDO" prompt="DIGITÁ AQUÍ DONDE ESTAS POSICIONADO, TU SUELDO NOMINAL O BRUTO SIN RESTARLE NINGUNA PARTIDA, (VER HOJA GUIA TRABAJADOR.&#10;INGRESALO SIN DECIMALES Y SIN AGREGAR PUNTOS O COMAS." errorTitle="Dato no válido" error="Solo podrás ingresar números enteros, sin decimales. Tampoco digites puntos o comas." sqref="G5">
      <formula1>0</formula1>
      <formula2>1E+36</formula2>
    </dataValidation>
    <dataValidation allowBlank="1" showInputMessage="1" showErrorMessage="1" promptTitle="B.P.C." prompt="Ingresar el valor actual de la Base de Prestaciones y Contribuciones, decretada por el Poder Ejecutivo" sqref="F55"/>
    <dataValidation type="whole" allowBlank="1" showInputMessage="1" showErrorMessage="1" promptTitle="PENSION" prompt="DIGITAR EL IMPORTE DE TU PENSIÓN NOMINAL, SIN DECIMALES. TAMPOCO DIGITES PUNTOS O COMAS.&#10;EN CASO DE TENER MAS DE UNA PENSIÓN, INGRESAR UNA POR CELDA.&#10;VER HOJA DE GUIA PENSIÓN." errorTitle="Dato no válido." error="Solo podras ingresar números enteros, sin decimales, puntos o comas" sqref="G29">
      <formula1>0</formula1>
      <formula2>1E+37</formula2>
    </dataValidation>
    <dataValidation type="whole" allowBlank="1" showInputMessage="1" showErrorMessage="1" promptTitle="JUBILACIÓN" prompt="DIGITAR AQUÍ, EL IMPORTE DE TU JUBILACIÓN NOMINAL, SIN DECIMALES Y SIN AGREGAR PUNTOS O COMAS. &#10;EN CASO DE TENER MAS DE UNA JUBILACIÓN, INGRESAR UNA JUBILACIÓN POR CELDA.&#10;VER HOJA DE GUIA JUBILACIÓN." errorTitle="Dato no válido" error="Solo podras ingresar números enteros, sin decimales, puntos o comas." sqref="G25">
      <formula1>0</formula1>
      <formula2>1E+37</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errorTitle="Dato no válido" error="Debes ingresar un número entero, sin decimilas, ni comas ni puntos." sqref="G10">
      <formula1>0</formula1>
      <formula2>1E+33</formula2>
    </dataValidation>
    <dataValidation type="whole" allowBlank="1" showInputMessage="1" showErrorMessage="1" promptTitle="BRUTO SIN PARTIDAS NO GRAVADAS" prompt="Ingresá tu SUELDO NOMINAL restandole al mismo las partidas no gravadas por el B.P.S. Por ejemplo: TICKETS ALIMENTACIÒN, TICKETS TRANSPORTE,  SEGUNDO AGUINALDO y otros, (ver hoja GUIA TRABAJADOR, punto 3). &#10;Ingresá el monto sin decimales, puntos o comas." errorTitle="Dato no válido" error="Debes ingresar un número entero, sin decimilas, ni comas ni puntos." sqref="G12">
      <formula1>0</formula1>
      <formula2>1E+33</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VER HOJA GUIA TRABAJADOR, punto 3). Ingresalo sin decimales, puntos o comas." errorTitle="Dato no válido" error="Debes ingresar un número entero, sin decimilas, ni comas ni puntos." sqref="G9">
      <formula1>0</formula1>
      <formula2>1E+33</formula2>
    </dataValidation>
    <dataValidation type="whole" allowBlank="1" showInputMessage="1" showErrorMessage="1" promptTitle="APORTES a CAJA de PROFESIONALES " prompt="Ingresar el aporte mensual a la CAJA DE JUBILACIONES y PENSIONES DE PROFESIONALES UNIVERSITARIOS." errorTitle="Dato no válido" error="Debe ingresar un número entero." sqref="C21">
      <formula1>1</formula1>
      <formula2>1000000000000000000</formula2>
    </dataValidation>
    <dataValidation type="whole" allowBlank="1" showInputMessage="1" showErrorMessage="1" promptTitle="REINTEGROS CAJA PROFESIONAL" prompt="Ingresar el importe mensual de los REINTEGROS de CAJA DE JUBILACIONES Y PENSIONES DE PROFESIONALES UNIVERSITARIOS." errorTitle="Dato no válido" error="Ingresar un número entero, sin puntos ni comas." sqref="F21">
      <formula1>1</formula1>
      <formula2>10000000000000000000</formula2>
    </dataValidation>
    <dataValidation type="whole" allowBlank="1" showInputMessage="1" showErrorMessage="1" promptTitle="FONDO DE SOLIDARIDAD" prompt="Ingresar la cifra anual que se paga por concepto de Fondo de Solidaridad. En caso de los Técnicos de Administración es la mitad de una B.P.C." errorTitle="Dato no válido" error="Debe ingresar un número entero." sqref="C20">
      <formula1>1</formula1>
      <formula2>1000000000000000000</formula2>
    </dataValidation>
    <dataValidation type="whole" allowBlank="1" showInputMessage="1" showErrorMessage="1" promptTitle="ADICIONAL F.de SOLIDARIDAD" prompt="Ingresar el importe anual por concepto de adicional del FONDO de SOLIDARIDAD" errorTitle="Dato no válido" error="Ingresar un número entero" sqref="F20">
      <formula1>1</formula1>
      <formula2>10000000000000000000</formula2>
    </dataValidation>
    <dataValidation type="whole" allowBlank="1" showInputMessage="1" showErrorMessage="1" promptTitle="MULTIEMPLEO PUBLICO" prompt="Registrar un sueldo por empresa y por celda." errorTitle="Dato no válidoc" error="Debes ingresar un número entero, sin puntos ni comas." sqref="D9:E9">
      <formula1>0</formula1>
      <formula2>1000000000000000000</formula2>
    </dataValidation>
    <dataValidation type="whole" allowBlank="1" showInputMessage="1" showErrorMessage="1" promptTitle="MULTIEMPLEO PRIVADO" prompt="Registrar un sueldo por empresa y por celda." errorTitle="Dato no válido" error="Tienes que ingresar un número entero, sin puntos ni comas." sqref="B12:F12">
      <formula1>0</formula1>
      <formula2>1E+22</formula2>
    </dataValidation>
    <dataValidation type="whole" allowBlank="1" showInputMessage="1" showErrorMessage="1" promptTitle="MULTI-JUBILACIÓN" prompt="Registrar una jubilación por celda." errorTitle="Dato no válido" error="Ingresar un número entero, sin comas ni puntos." sqref="D25:E25">
      <formula1>0</formula1>
      <formula2>1000000000000000000</formula2>
    </dataValidation>
    <dataValidation type="whole" allowBlank="1" showInputMessage="1" showErrorMessage="1" promptTitle="MULTI-PENSIÓN" prompt="Ingresar una pensión por celda" errorTitle="Dato no válido" error="Ingresar un número entero, sin puntos ni comas." sqref="D29:E29">
      <formula1>0</formula1>
      <formula2>10000000000000000</formula2>
    </dataValidation>
    <dataValidation type="whole" allowBlank="1" showInputMessage="1" showErrorMessage="1" promptTitle="REGIMEN NUEVO O DE TRANSICIÓN" prompt="Se debe marcar 1 en caso de NUEVO REGIMEN.&#10;Se debe marcar 2 en caso de REGIMEN de TRANSICIÓN." errorTitle="Dato no válido" error="Solo se puede ingresar el valor 1 o el valor 2" sqref="G7">
      <formula1>1</formula1>
      <formula2>2</formula2>
    </dataValidation>
    <dataValidation type="whole" allowBlank="1" showInputMessage="1" showErrorMessage="1" sqref="F46:G46">
      <formula1>0</formula1>
      <formula2>10000000000000000</formula2>
    </dataValidation>
    <dataValidation type="whole" allowBlank="1" showInputMessage="1" showErrorMessage="1" sqref="G27">
      <formula1>0</formula1>
      <formula2>1E+37</formula2>
    </dataValidation>
    <dataValidation type="whole" allowBlank="1" showInputMessage="1" showErrorMessage="1" promptTitle="SUELDO NOMINAL" prompt="DEBE INGRESAR EL SUELDO NOMINAL SIN RESTAR NINGUNA PARTIDA. (VER GUIA TRABAJADOR)" errorTitle="Dato no válido" error="Debe ingresar un número entero, sin comas ni puntos." sqref="G4">
      <formula1>0</formula1>
      <formula2>1E+23</formula2>
    </dataValidation>
    <dataValidation type="whole" allowBlank="1" showInputMessage="1" showErrorMessage="1" promptTitle="HIJOS MENORES DE 18 AÑOS" prompt="DIGITÁ AQUÍ DONDE ESTAS POSICIONADO, 1 SI TENES HIJOS MENORES DE 18 AÑOS O DISCAPACITADOS DE CUALQUIER EDAD A TU CARGO. DE LO CONTRARIO DIGITAR 0." errorTitle="Dato no válido" error="Solo podrás ingresar 1 o 0." sqref="G6">
      <formula1>0</formula1>
      <formula2>1</formula2>
    </dataValidation>
    <dataValidation type="whole" allowBlank="1" showInputMessage="1" showErrorMessage="1" promptTitle="B.P.C." prompt="Ingresar el valor de la BASE de PRESTACIONES y CONTRIBUCIONES. Ingresar el valor vigente, decretado por el Poder Ejecutivo. Varía en cada ocación de aumento de salarios a los funcionarios públicos." errorTitle="Dato no válido" error="Ingresar una cifra entera, sin decimales ni puntos ni comas." sqref="E122">
      <formula1>0</formula1>
      <formula2>1000000000000</formula2>
    </dataValidation>
    <dataValidation type="decimal" allowBlank="1" showInputMessage="1" showErrorMessage="1" promptTitle="TOPE CUOTA MUTUAL" prompt="Ingresar en esta celda el valor establecido por el Poder Ejecutivo, que hace de tope para poseer el derecho a la cuota mutual, para aquellas personas que se jubilaron como empleados en su última actividad laboral." errorTitle="Dato no válido" error="Debe ingresar un número con hasta dos decimales." sqref="E128">
      <formula1>0</formula1>
      <formula2>10000000000000</formula2>
    </dataValidation>
    <dataValidation allowBlank="1" showInputMessage="1" showErrorMessage="1" promptTitle="TOPE TERCER NIVEL, LEY 16713" prompt="Establecer el valor que fija el Poder Ejecutivo, como tope del aporte personal jubilatorio, para aquellas personas que están dentro del nuevo régimen, (solidaridad intergeneracional y AFAP)" sqref="E131"/>
  </dataValidations>
  <printOptions/>
  <pageMargins left="0.75" right="0.75" top="1" bottom="1" header="0" footer="0"/>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3:G131"/>
  <sheetViews>
    <sheetView workbookViewId="0" topLeftCell="B3">
      <selection activeCell="C20" sqref="C20"/>
    </sheetView>
  </sheetViews>
  <sheetFormatPr defaultColWidth="11.421875" defaultRowHeight="12.75"/>
  <cols>
    <col min="1" max="1" width="17.7109375" style="0" hidden="1" customWidth="1"/>
    <col min="2" max="2" width="18.140625" style="0" customWidth="1"/>
    <col min="3" max="3" width="15.57421875" style="0" customWidth="1"/>
    <col min="4" max="4" width="17.421875" style="0" customWidth="1"/>
    <col min="5" max="5" width="19.57421875" style="0" customWidth="1"/>
    <col min="6" max="6" width="13.00390625" style="0" customWidth="1"/>
    <col min="7" max="7" width="18.8515625" style="0" customWidth="1"/>
  </cols>
  <sheetData>
    <row r="1" ht="12.75" hidden="1"/>
    <row r="2" ht="13.5" hidden="1" thickBot="1"/>
    <row r="3" spans="3:5" ht="27" thickBot="1" thickTop="1">
      <c r="C3" s="478" t="s">
        <v>27</v>
      </c>
      <c r="D3" s="479"/>
      <c r="E3" s="480"/>
    </row>
    <row r="4" spans="2:7" ht="21.75" thickBot="1" thickTop="1">
      <c r="B4" s="481" t="s">
        <v>33</v>
      </c>
      <c r="C4" s="482"/>
      <c r="D4" s="482"/>
      <c r="E4" s="482"/>
      <c r="F4" s="483"/>
      <c r="G4" s="273"/>
    </row>
    <row r="5" spans="2:7" ht="24" hidden="1" thickBot="1" thickTop="1">
      <c r="B5" s="11"/>
      <c r="C5" s="11"/>
      <c r="D5" s="11"/>
      <c r="E5" s="23"/>
      <c r="F5" s="11"/>
      <c r="G5" s="274"/>
    </row>
    <row r="6" spans="2:7" ht="30" customHeight="1" thickBot="1" thickTop="1">
      <c r="B6" s="484" t="s">
        <v>102</v>
      </c>
      <c r="C6" s="485"/>
      <c r="D6" s="485"/>
      <c r="E6" s="485"/>
      <c r="F6" s="486"/>
      <c r="G6" s="275"/>
    </row>
    <row r="7" spans="2:7" ht="30" customHeight="1" thickBot="1">
      <c r="B7" s="487" t="s">
        <v>103</v>
      </c>
      <c r="C7" s="488"/>
      <c r="D7" s="488"/>
      <c r="E7" s="488"/>
      <c r="F7" s="489"/>
      <c r="G7" s="276"/>
    </row>
    <row r="8" spans="2:7" ht="30" customHeight="1" thickBot="1" thickTop="1">
      <c r="B8" s="466" t="s">
        <v>57</v>
      </c>
      <c r="C8" s="467"/>
      <c r="D8" s="467"/>
      <c r="E8" s="467"/>
      <c r="F8" s="468"/>
      <c r="G8" s="162"/>
    </row>
    <row r="9" spans="1:7" ht="21.75" thickBot="1" thickTop="1">
      <c r="A9" s="293">
        <f>D9+E9+G9</f>
        <v>0</v>
      </c>
      <c r="B9" s="48"/>
      <c r="C9" s="48"/>
      <c r="D9" s="151"/>
      <c r="E9" s="152"/>
      <c r="F9" s="48"/>
      <c r="G9" s="153"/>
    </row>
    <row r="10" spans="2:7" ht="21.75" hidden="1" thickBot="1">
      <c r="B10" s="144"/>
      <c r="C10" s="48"/>
      <c r="D10" s="48"/>
      <c r="E10" s="48"/>
      <c r="F10" s="48"/>
      <c r="G10" s="12"/>
    </row>
    <row r="11" spans="2:7" ht="30" customHeight="1" thickBot="1" thickTop="1">
      <c r="B11" s="469" t="s">
        <v>63</v>
      </c>
      <c r="C11" s="470"/>
      <c r="D11" s="470"/>
      <c r="E11" s="470"/>
      <c r="F11" s="471"/>
      <c r="G11" s="162"/>
    </row>
    <row r="12" spans="1:7" ht="21.75" thickBot="1" thickTop="1">
      <c r="A12" s="293">
        <f>B12+C12+D12+E12+F12+G12</f>
        <v>0</v>
      </c>
      <c r="B12" s="141"/>
      <c r="C12" s="140"/>
      <c r="D12" s="141"/>
      <c r="E12" s="140"/>
      <c r="F12" s="142"/>
      <c r="G12" s="131"/>
    </row>
    <row r="13" spans="2:7" ht="26.25" thickBot="1">
      <c r="B13" s="472" t="s">
        <v>27</v>
      </c>
      <c r="C13" s="473"/>
      <c r="D13" s="473"/>
      <c r="E13" s="473"/>
      <c r="F13" s="474"/>
      <c r="G13" s="162"/>
    </row>
    <row r="14" spans="2:7" ht="21.75" thickBot="1" thickTop="1">
      <c r="B14" s="475" t="s">
        <v>60</v>
      </c>
      <c r="C14" s="476"/>
      <c r="D14" s="476"/>
      <c r="E14" s="476"/>
      <c r="F14" s="477"/>
      <c r="G14" s="127"/>
    </row>
    <row r="15" spans="2:7" ht="21.75" hidden="1" thickBot="1" thickTop="1">
      <c r="B15" s="145"/>
      <c r="C15" s="277"/>
      <c r="D15" s="277"/>
      <c r="E15" s="277"/>
      <c r="F15" s="277"/>
      <c r="G15" s="128"/>
    </row>
    <row r="16" spans="2:7" ht="30" customHeight="1" thickBot="1" thickTop="1">
      <c r="B16" s="460" t="s">
        <v>61</v>
      </c>
      <c r="C16" s="461"/>
      <c r="D16" s="461"/>
      <c r="E16" s="461"/>
      <c r="F16" s="462"/>
      <c r="G16" s="173"/>
    </row>
    <row r="17" spans="2:7" ht="21.75" hidden="1" thickBot="1" thickTop="1">
      <c r="B17" s="150"/>
      <c r="C17" s="150"/>
      <c r="D17" s="150"/>
      <c r="E17" s="150"/>
      <c r="F17" s="150"/>
      <c r="G17" s="129"/>
    </row>
    <row r="18" spans="2:7" ht="27" thickBot="1" thickTop="1">
      <c r="B18" s="453" t="s">
        <v>27</v>
      </c>
      <c r="C18" s="454"/>
      <c r="D18" s="454"/>
      <c r="E18" s="454"/>
      <c r="F18" s="455"/>
      <c r="G18" s="162"/>
    </row>
    <row r="19" spans="2:7" ht="18" thickBot="1" thickTop="1">
      <c r="B19" s="463" t="s">
        <v>43</v>
      </c>
      <c r="C19" s="464"/>
      <c r="D19" s="464"/>
      <c r="E19" s="464"/>
      <c r="F19" s="465"/>
      <c r="G19" s="163"/>
    </row>
    <row r="20" spans="2:7" ht="28.5" thickBot="1" thickTop="1">
      <c r="B20" s="174" t="s">
        <v>32</v>
      </c>
      <c r="C20" s="175"/>
      <c r="D20" s="26"/>
      <c r="E20" s="177" t="s">
        <v>34</v>
      </c>
      <c r="F20" s="175"/>
      <c r="G20" s="162"/>
    </row>
    <row r="21" spans="2:7" ht="24" thickBot="1" thickTop="1">
      <c r="B21" s="176" t="s">
        <v>55</v>
      </c>
      <c r="C21" s="175"/>
      <c r="D21" s="26"/>
      <c r="E21" s="178" t="s">
        <v>56</v>
      </c>
      <c r="F21" s="175"/>
      <c r="G21" s="162"/>
    </row>
    <row r="22" spans="2:7" ht="21.75" hidden="1" thickBot="1">
      <c r="B22" s="26"/>
      <c r="C22" s="26"/>
      <c r="D22" s="26"/>
      <c r="E22" s="25"/>
      <c r="F22" s="25"/>
      <c r="G22" s="162"/>
    </row>
    <row r="23" spans="2:7" ht="27" hidden="1" thickBot="1" thickTop="1">
      <c r="B23" s="26"/>
      <c r="C23" s="453" t="s">
        <v>28</v>
      </c>
      <c r="D23" s="454"/>
      <c r="E23" s="455"/>
      <c r="F23" s="25"/>
      <c r="G23" s="162"/>
    </row>
    <row r="24" spans="2:7" ht="18" hidden="1" thickBot="1" thickTop="1">
      <c r="B24" s="450" t="s">
        <v>58</v>
      </c>
      <c r="C24" s="451"/>
      <c r="D24" s="451"/>
      <c r="E24" s="451"/>
      <c r="F24" s="451"/>
      <c r="G24" s="452"/>
    </row>
    <row r="25" spans="1:7" ht="22.5" hidden="1" thickBot="1" thickTop="1">
      <c r="A25" s="294">
        <f>D25+E25+G25</f>
        <v>0</v>
      </c>
      <c r="B25" s="19"/>
      <c r="C25" s="19"/>
      <c r="D25" s="146"/>
      <c r="E25" s="147"/>
      <c r="F25" s="19"/>
      <c r="G25" s="147"/>
    </row>
    <row r="26" spans="2:7" ht="25.5" hidden="1" thickBot="1">
      <c r="B26" s="19"/>
      <c r="C26" s="19"/>
      <c r="D26" s="19"/>
      <c r="E26" s="19"/>
      <c r="F26" s="19"/>
      <c r="G26" s="278"/>
    </row>
    <row r="27" spans="2:7" ht="27" hidden="1" thickBot="1" thickTop="1">
      <c r="B27" s="19"/>
      <c r="C27" s="453" t="s">
        <v>29</v>
      </c>
      <c r="D27" s="454"/>
      <c r="E27" s="455"/>
      <c r="F27" s="19"/>
      <c r="G27" s="161"/>
    </row>
    <row r="28" spans="2:7" ht="18" hidden="1" thickBot="1" thickTop="1">
      <c r="B28" s="450" t="s">
        <v>59</v>
      </c>
      <c r="C28" s="451"/>
      <c r="D28" s="451"/>
      <c r="E28" s="451"/>
      <c r="F28" s="451"/>
      <c r="G28" s="452"/>
    </row>
    <row r="29" spans="1:7" ht="22.5" hidden="1" thickBot="1" thickTop="1">
      <c r="A29" s="294">
        <f>D29+E29+G29</f>
        <v>0</v>
      </c>
      <c r="B29" s="19"/>
      <c r="C29" s="19"/>
      <c r="D29" s="148"/>
      <c r="E29" s="148"/>
      <c r="F29" s="139"/>
      <c r="G29" s="148"/>
    </row>
    <row r="30" spans="2:7" ht="17.25" hidden="1" thickBot="1">
      <c r="B30" s="25"/>
      <c r="C30" s="25"/>
      <c r="D30" s="25"/>
      <c r="E30" s="25"/>
      <c r="F30" s="24"/>
      <c r="G30" s="24"/>
    </row>
    <row r="31" spans="2:7" ht="24.75" thickBot="1" thickTop="1">
      <c r="B31" s="456" t="s">
        <v>104</v>
      </c>
      <c r="C31" s="457"/>
      <c r="D31" s="457"/>
      <c r="E31" s="458"/>
      <c r="F31" s="459"/>
      <c r="G31" s="459"/>
    </row>
    <row r="32" spans="2:7" ht="17.25" thickBot="1" thickTop="1">
      <c r="B32" s="154" t="s">
        <v>5</v>
      </c>
      <c r="C32" s="154" t="s">
        <v>8</v>
      </c>
      <c r="D32" s="155" t="s">
        <v>9</v>
      </c>
      <c r="E32" s="154" t="s">
        <v>88</v>
      </c>
      <c r="F32" s="51"/>
      <c r="G32" s="130" t="s">
        <v>5</v>
      </c>
    </row>
    <row r="33" spans="1:7" ht="16.5" thickBot="1">
      <c r="A33">
        <f>G33</f>
        <v>13608</v>
      </c>
      <c r="B33" s="60" t="s">
        <v>105</v>
      </c>
      <c r="C33" s="61">
        <f>G33</f>
        <v>13608</v>
      </c>
      <c r="D33" s="62">
        <v>0</v>
      </c>
      <c r="E33" s="63">
        <f aca="true" t="shared" si="0" ref="E33:E38">C33*D33</f>
        <v>0</v>
      </c>
      <c r="G33" s="55">
        <f>7*Parámetros!E32</f>
        <v>13608</v>
      </c>
    </row>
    <row r="34" spans="1:7" ht="16.5" thickBot="1">
      <c r="A34">
        <f>IF(C52&gt;=G34,G34-G33,C52-G33)</f>
        <v>-13608</v>
      </c>
      <c r="B34" s="64" t="s">
        <v>106</v>
      </c>
      <c r="C34" s="65">
        <f>IF(A34&lt;=0,0,A34)</f>
        <v>0</v>
      </c>
      <c r="D34" s="66">
        <v>0.1</v>
      </c>
      <c r="E34" s="67">
        <f t="shared" si="0"/>
        <v>0</v>
      </c>
      <c r="G34" s="56">
        <f>10*Parámetros!E32</f>
        <v>19440</v>
      </c>
    </row>
    <row r="35" spans="1:7" ht="16.5" thickBot="1">
      <c r="A35">
        <f>IF(C52&gt;=G35,G35-G34,C52-G34)</f>
        <v>-19440</v>
      </c>
      <c r="B35" s="68" t="s">
        <v>3</v>
      </c>
      <c r="C35" s="69">
        <f>IF(A35&lt;=0,0,A35)</f>
        <v>0</v>
      </c>
      <c r="D35" s="70">
        <v>0.15</v>
      </c>
      <c r="E35" s="71">
        <f t="shared" si="0"/>
        <v>0</v>
      </c>
      <c r="G35" s="57">
        <f>15*Parámetros!E32</f>
        <v>29160</v>
      </c>
    </row>
    <row r="36" spans="1:7" ht="16.5" thickBot="1">
      <c r="A36">
        <f>IF(C52&gt;=G36,G36-G35,C52-G35)</f>
        <v>-29160</v>
      </c>
      <c r="B36" s="72" t="s">
        <v>13</v>
      </c>
      <c r="C36" s="73">
        <f>IF(A36&lt;=0,0,A36)</f>
        <v>0</v>
      </c>
      <c r="D36" s="74">
        <v>0.2</v>
      </c>
      <c r="E36" s="75">
        <f t="shared" si="0"/>
        <v>0</v>
      </c>
      <c r="G36" s="58">
        <f>50*Parámetros!E32</f>
        <v>97200</v>
      </c>
    </row>
    <row r="37" spans="1:7" ht="16.5" thickBot="1">
      <c r="A37">
        <f>IF(C52&gt;=G37,G37-G36,C52-G36)</f>
        <v>-97200</v>
      </c>
      <c r="B37" s="76" t="s">
        <v>14</v>
      </c>
      <c r="C37" s="77">
        <f>IF(A37&lt;=0,0,A37)</f>
        <v>0</v>
      </c>
      <c r="D37" s="78">
        <v>0.22</v>
      </c>
      <c r="E37" s="79">
        <f t="shared" si="0"/>
        <v>0</v>
      </c>
      <c r="G37" s="59">
        <f>100*Parámetros!E32</f>
        <v>194400</v>
      </c>
    </row>
    <row r="38" spans="1:5" ht="16.5" thickBot="1">
      <c r="A38">
        <f>IF(C52&gt;G37,C52-G37,0)</f>
        <v>0</v>
      </c>
      <c r="B38" s="80" t="s">
        <v>15</v>
      </c>
      <c r="C38" s="279">
        <f>IF(A38&lt;=0,0,A38)</f>
        <v>0</v>
      </c>
      <c r="D38" s="280">
        <v>0.25</v>
      </c>
      <c r="E38" s="149">
        <f t="shared" si="0"/>
        <v>0</v>
      </c>
    </row>
    <row r="39" spans="3:7" ht="21.75" thickBot="1" thickTop="1">
      <c r="C39" s="442" t="s">
        <v>40</v>
      </c>
      <c r="D39" s="443"/>
      <c r="E39" s="281">
        <f>SUM(E34:E38)</f>
        <v>0</v>
      </c>
      <c r="F39" s="444"/>
      <c r="G39" s="444"/>
    </row>
    <row r="40" spans="3:7" ht="23.25" hidden="1" thickBot="1" thickTop="1">
      <c r="C40" s="283"/>
      <c r="D40" s="283"/>
      <c r="E40" s="284"/>
      <c r="F40" s="282"/>
      <c r="G40" s="282"/>
    </row>
    <row r="41" spans="2:7" ht="34.5" thickBot="1" thickTop="1">
      <c r="B41" s="445" t="s">
        <v>107</v>
      </c>
      <c r="C41" s="446"/>
      <c r="D41" s="446"/>
      <c r="E41" s="447"/>
      <c r="F41" s="448">
        <f>C51</f>
        <v>0</v>
      </c>
      <c r="G41" s="449"/>
    </row>
    <row r="42" spans="2:7" ht="21.75" hidden="1">
      <c r="B42" s="285"/>
      <c r="C42" s="286" t="s">
        <v>108</v>
      </c>
      <c r="D42" s="286"/>
      <c r="E42" s="287"/>
      <c r="F42" s="288"/>
      <c r="G42" s="288"/>
    </row>
    <row r="43" spans="3:7" ht="22.5" hidden="1" thickBot="1">
      <c r="C43" s="283"/>
      <c r="D43" s="283"/>
      <c r="E43" s="284"/>
      <c r="F43" s="282"/>
      <c r="G43" s="282"/>
    </row>
    <row r="44" spans="2:7" ht="39" thickBot="1" thickTop="1">
      <c r="B44" s="289" t="s">
        <v>104</v>
      </c>
      <c r="C44" s="433">
        <f>IF(E39-C119&lt;0,0,E39-C119)</f>
        <v>0</v>
      </c>
      <c r="D44" s="434"/>
      <c r="E44" s="290" t="s">
        <v>109</v>
      </c>
      <c r="F44" s="435">
        <f>C50</f>
        <v>0</v>
      </c>
      <c r="G44" s="436"/>
    </row>
    <row r="45" spans="6:7" ht="19.5" hidden="1" thickBot="1" thickTop="1">
      <c r="F45" s="27"/>
      <c r="G45" s="22"/>
    </row>
    <row r="46" spans="2:7" ht="42.75" hidden="1" thickBot="1" thickTop="1">
      <c r="B46" s="437" t="s">
        <v>30</v>
      </c>
      <c r="C46" s="438"/>
      <c r="D46" s="438"/>
      <c r="E46" s="439"/>
      <c r="F46" s="440" t="e">
        <f>E44-C55</f>
        <v>#VALUE!</v>
      </c>
      <c r="G46" s="441"/>
    </row>
    <row r="47" spans="3:7" ht="14.25" hidden="1" thickBot="1" thickTop="1">
      <c r="C47" s="1"/>
      <c r="G47" s="3"/>
    </row>
    <row r="48" spans="2:3" ht="16.5" hidden="1" thickBot="1">
      <c r="B48" s="41" t="s">
        <v>37</v>
      </c>
      <c r="C48" s="42">
        <f>IF(A12&gt;0,A12*0.125%,0)</f>
        <v>0</v>
      </c>
    </row>
    <row r="49" spans="2:6" ht="16.5" hidden="1" thickBot="1">
      <c r="B49" s="38" t="s">
        <v>120</v>
      </c>
      <c r="C49" s="40">
        <f>IF(A9&lt;=0,A12,A12+A9)</f>
        <v>0</v>
      </c>
      <c r="E49" s="428" t="s">
        <v>7</v>
      </c>
      <c r="F49" s="429"/>
    </row>
    <row r="50" spans="2:7" ht="16.5" hidden="1" thickBot="1">
      <c r="B50" s="39" t="s">
        <v>109</v>
      </c>
      <c r="C50" s="43">
        <f>IF(C49&lt;=G55,C49*3%,IF(G6&gt;0,C49*6%,C49*4.5%))</f>
        <v>0</v>
      </c>
      <c r="D50" s="172" t="s">
        <v>62</v>
      </c>
      <c r="E50" s="6">
        <v>0</v>
      </c>
      <c r="F50" s="20">
        <f>3*F55</f>
        <v>5832</v>
      </c>
      <c r="G50" s="168">
        <f>(F50+2)*1.02</f>
        <v>5950.68</v>
      </c>
    </row>
    <row r="51" spans="2:7" ht="16.5" hidden="1" thickBot="1">
      <c r="B51" s="96" t="s">
        <v>0</v>
      </c>
      <c r="C51" s="97">
        <f>E94</f>
        <v>0</v>
      </c>
      <c r="D51" s="42">
        <f>C51+C50+C48</f>
        <v>0</v>
      </c>
      <c r="E51" s="7">
        <v>0.02</v>
      </c>
      <c r="F51" s="21">
        <f>6*F55</f>
        <v>11664</v>
      </c>
      <c r="G51" s="168">
        <f>(F51+35)*1.06</f>
        <v>12400.94</v>
      </c>
    </row>
    <row r="52" spans="2:7" ht="16.5" hidden="1" thickBot="1">
      <c r="B52" s="90" t="s">
        <v>121</v>
      </c>
      <c r="C52" s="91">
        <f>G4</f>
        <v>0</v>
      </c>
      <c r="E52" s="8">
        <v>0.06</v>
      </c>
      <c r="F52" s="171">
        <f>(F55*6)+1</f>
        <v>11665</v>
      </c>
      <c r="G52" s="168">
        <f>(F51+4)*1.02</f>
        <v>11901.36</v>
      </c>
    </row>
    <row r="53" spans="2:7" ht="16.5" hidden="1" thickBot="1">
      <c r="B53" s="92" t="s">
        <v>41</v>
      </c>
      <c r="C53" s="93">
        <f>A25</f>
        <v>0</v>
      </c>
      <c r="E53" s="169"/>
      <c r="F53" s="170"/>
      <c r="G53" s="1"/>
    </row>
    <row r="54" spans="2:7" ht="16.5" hidden="1" thickBot="1">
      <c r="B54" s="94" t="s">
        <v>42</v>
      </c>
      <c r="C54" s="95">
        <f>A29</f>
        <v>0</v>
      </c>
      <c r="D54" s="291">
        <f>C53+C54</f>
        <v>0</v>
      </c>
      <c r="F54" s="2"/>
      <c r="G54" s="291" t="s">
        <v>110</v>
      </c>
    </row>
    <row r="55" spans="2:7" ht="21" hidden="1" thickBot="1">
      <c r="B55" s="98" t="s">
        <v>36</v>
      </c>
      <c r="C55" s="99" t="e">
        <f>#REF!+F44</f>
        <v>#REF!</v>
      </c>
      <c r="E55" s="35" t="s">
        <v>4</v>
      </c>
      <c r="F55" s="89">
        <f>Parámetros!E32</f>
        <v>1944</v>
      </c>
      <c r="G55" s="292">
        <f>2.5*F55</f>
        <v>4860</v>
      </c>
    </row>
    <row r="56" spans="2:3" ht="18.75" hidden="1" thickBot="1">
      <c r="B56" s="158" t="s">
        <v>54</v>
      </c>
      <c r="C56" s="159">
        <f>C48+C50+C51</f>
        <v>0</v>
      </c>
    </row>
    <row r="57" ht="13.5" hidden="1" thickBot="1"/>
    <row r="58" spans="2:5" ht="18.75" hidden="1" thickBot="1">
      <c r="B58" s="374" t="s">
        <v>12</v>
      </c>
      <c r="C58" s="375"/>
      <c r="D58" s="375"/>
      <c r="E58" s="376"/>
    </row>
    <row r="59" spans="2:7" ht="15.75" hidden="1" thickBot="1">
      <c r="B59" s="10" t="s">
        <v>5</v>
      </c>
      <c r="C59" s="9" t="s">
        <v>8</v>
      </c>
      <c r="D59" s="10" t="s">
        <v>9</v>
      </c>
      <c r="E59" s="10" t="s">
        <v>88</v>
      </c>
      <c r="G59" s="165"/>
    </row>
    <row r="60" spans="1:7" ht="12.75" hidden="1">
      <c r="A60">
        <f>G60</f>
        <v>15552</v>
      </c>
      <c r="B60" s="28" t="s">
        <v>111</v>
      </c>
      <c r="C60" s="13">
        <f>'[1]DEDUCCIONES'!D29*5</f>
        <v>0</v>
      </c>
      <c r="D60" s="4">
        <v>0</v>
      </c>
      <c r="E60" s="16">
        <f>C60*D60</f>
        <v>0</v>
      </c>
      <c r="G60" s="298">
        <f>8*Parámetros!E32</f>
        <v>15552</v>
      </c>
    </row>
    <row r="61" spans="1:7" ht="12.75" hidden="1">
      <c r="A61">
        <f>IF(D54&gt;=G61,G60,D54-G60)</f>
        <v>-15552</v>
      </c>
      <c r="B61" s="29" t="s">
        <v>112</v>
      </c>
      <c r="C61" s="14">
        <f>IF(A36&lt;=0,0,A36)</f>
        <v>0</v>
      </c>
      <c r="D61" s="5">
        <v>0.1</v>
      </c>
      <c r="E61" s="17">
        <f>C61*D61</f>
        <v>0</v>
      </c>
      <c r="G61" s="299">
        <f>15*Parámetros!E32</f>
        <v>29160</v>
      </c>
    </row>
    <row r="62" spans="1:7" ht="13.5" hidden="1" thickBot="1">
      <c r="A62">
        <f>IF(D54&gt;=G62,G60,D54-G61)</f>
        <v>-29160</v>
      </c>
      <c r="B62" s="29" t="s">
        <v>16</v>
      </c>
      <c r="C62" s="15">
        <f>IF(A37&lt;=0,0,A37)</f>
        <v>0</v>
      </c>
      <c r="D62" s="5">
        <v>0.15</v>
      </c>
      <c r="E62" s="17">
        <f>C62*D62</f>
        <v>0</v>
      </c>
      <c r="G62" s="300">
        <f>50*Parámetros!E32</f>
        <v>97200</v>
      </c>
    </row>
    <row r="63" spans="1:7" ht="13.5" hidden="1" thickBot="1">
      <c r="A63">
        <f>IF(D54&gt;G62,D54-G62,0)</f>
        <v>0</v>
      </c>
      <c r="B63" s="30" t="s">
        <v>17</v>
      </c>
      <c r="C63" s="31">
        <f>IF(A38&lt;=0,0,A38)</f>
        <v>0</v>
      </c>
      <c r="D63" s="32">
        <v>0.25</v>
      </c>
      <c r="E63" s="33">
        <f>C63*D63</f>
        <v>0</v>
      </c>
      <c r="G63" s="166"/>
    </row>
    <row r="64" spans="3:7" ht="18.75" hidden="1" thickBot="1">
      <c r="C64" s="374" t="s">
        <v>6</v>
      </c>
      <c r="D64" s="376"/>
      <c r="E64" s="18">
        <f>SUM(E61:E62)</f>
        <v>0</v>
      </c>
      <c r="G64" s="166"/>
    </row>
    <row r="65" spans="1:7" ht="12.75" hidden="1">
      <c r="A65" s="295"/>
      <c r="B65" s="295"/>
      <c r="C65" s="27"/>
      <c r="D65" s="27"/>
      <c r="E65" s="296"/>
      <c r="F65" s="295"/>
      <c r="G65" s="297"/>
    </row>
    <row r="66" spans="1:7" ht="12.75" hidden="1">
      <c r="A66" s="295"/>
      <c r="B66" s="295"/>
      <c r="C66" s="27"/>
      <c r="D66" s="27"/>
      <c r="E66" s="296"/>
      <c r="F66" s="295"/>
      <c r="G66" s="297"/>
    </row>
    <row r="67" ht="12.75" hidden="1">
      <c r="G67" s="27"/>
    </row>
    <row r="68" ht="12.75" hidden="1">
      <c r="G68" s="27"/>
    </row>
    <row r="69" ht="13.5" hidden="1" thickBot="1">
      <c r="G69" s="166"/>
    </row>
    <row r="70" spans="2:7" ht="16.5" hidden="1" thickBot="1">
      <c r="B70" s="135" t="s">
        <v>44</v>
      </c>
      <c r="C70" s="136"/>
      <c r="D70" s="137"/>
      <c r="G70" s="167"/>
    </row>
    <row r="71" ht="13.5" hidden="1" thickBot="1">
      <c r="C71" s="132"/>
    </row>
    <row r="72" spans="3:7" ht="13.5" hidden="1" thickBot="1">
      <c r="C72" s="264">
        <f>IF(B12&gt;G51,B12*6%,(IF(B12&lt;=F50,0,IF(AND(B12&gt;F50,B12&lt;=G50),B12*2%-(F50-(B12-(B12*2%))),IF(AND(B12&gt;F51,B12&lt;=G51),B12*6%-(I51-(B12-(B12*6%))),B12*2%)))))</f>
        <v>0</v>
      </c>
      <c r="E72" s="133" t="s">
        <v>46</v>
      </c>
      <c r="G72" s="164"/>
    </row>
    <row r="73" spans="3:7" ht="16.5" hidden="1" thickBot="1">
      <c r="C73" s="264">
        <f>IF(C12&gt;G51,C12*6%,(IF(C12&lt;=F50,0,IF(AND(C12&gt;F50,C12&lt;=G50),C12*2%-(F50-(C12-(C12*2%))),IF(AND(C12&gt;F51,C12&lt;=G51),C12*6%-(I51-(C12-(C12*6%))),C12*2%)))))</f>
        <v>0</v>
      </c>
      <c r="E73" s="93">
        <f>IF(G25&gt;G52,G25*2%,(IF(G25&lt;=F51,0,G25-F51)))+IF(E25&gt;G52,E25*2%,(IF(E25&lt;=F51,0,E25-F51)))+IF(D25&gt;G52,D25*2%,(IF(D25&lt;=F51,0,D25-F51)))</f>
        <v>0</v>
      </c>
      <c r="G73" s="164"/>
    </row>
    <row r="74" spans="3:7" ht="13.5" hidden="1" thickBot="1">
      <c r="C74" s="264">
        <f>IF(D12&gt;G51,D12*6%,(IF(D12&lt;=F50,0,IF(AND(D12&gt;F50,D12&lt;=G50),D12*2%-(F50-(D12-(D12*2%))),IF(AND(D12&gt;F51,D12&lt;=G51),D12*6%-(I51-(D12-(D12*6%))),D12*2%)))))</f>
        <v>0</v>
      </c>
      <c r="G74" s="164"/>
    </row>
    <row r="75" spans="3:5" ht="13.5" hidden="1" thickBot="1">
      <c r="C75" s="264">
        <f>IF(E12&gt;G51,E12*6%,(IF(E12&lt;=F50,0,IF(AND(E12&gt;F50,E12&lt;=G50),E12*2%-(F50-(E12-(E12*2%))),IF(AND(E12&gt;F51,E12&lt;=G51),E12*6%-(I51-(E12-(E12*6%))),E12*2%)))))</f>
        <v>0</v>
      </c>
      <c r="E75" s="134" t="s">
        <v>47</v>
      </c>
    </row>
    <row r="76" spans="3:7" ht="16.5" hidden="1" thickBot="1">
      <c r="C76" s="264">
        <f>IF(F12&gt;G51,F12*6%,(IF(F12&lt;=F50,0,IF(AND(F12&gt;F50,F12&lt;=G50),F12*2%-(F50-(F12-(F12*2%))),IF(AND(F12&gt;F51,F12&lt;=G51),F12*6%-(I51-(F12-(F12*6%))),F12*2%)))))</f>
        <v>0</v>
      </c>
      <c r="E76" s="270">
        <f>IF(G29&gt;G52,G29*2%,(IF(G29&lt;=F51,0,G29-F51)))+IF(E29&gt;G52,E29*2%,(IF(E29&lt;=F51,0,E29-F51)))+IF(D29&gt;G52,D29*2%,(IF(D29&lt;=F51,0,D29-F51)))</f>
        <v>0</v>
      </c>
      <c r="G76" s="164"/>
    </row>
    <row r="77" ht="13.5" hidden="1" thickBot="1">
      <c r="C77" s="264">
        <f>IF(G12&gt;G51,G12*6%,(IF(G12&lt;=F50,0,IF(AND(G12&gt;F50,G12&lt;=G50),G12*2%-(F50-(G12-(G12*2%))),IF(AND(G12&gt;F51,G12&lt;=G51),G12*6%-(I51-(G12-(G12*6%))),G12*2%)))))</f>
        <v>0</v>
      </c>
    </row>
    <row r="78" spans="2:3" ht="18.75" hidden="1" thickBot="1">
      <c r="B78" s="138" t="s">
        <v>45</v>
      </c>
      <c r="C78" s="265">
        <f>SUM(C72:C77)</f>
        <v>0</v>
      </c>
    </row>
    <row r="79" ht="13.5" hidden="1" thickBot="1"/>
    <row r="80" spans="2:4" ht="16.5" hidden="1" thickBot="1">
      <c r="B80" s="430" t="s">
        <v>48</v>
      </c>
      <c r="C80" s="431"/>
      <c r="D80" s="432"/>
    </row>
    <row r="81" ht="12.75" hidden="1">
      <c r="C81" s="266">
        <f>IF(G9&gt;G51,G9*6%,(IF(G9&lt;=F50,0,IF(AND(G9&gt;F50,G9&lt;=G50),G9*2%-(F50-(G9-(G9*2%))),IF(AND(G9&gt;F51,G9&lt;=G51),G9*6%-(I51-(G9-(G9*6%))),G9*2%)))))</f>
        <v>0</v>
      </c>
    </row>
    <row r="82" ht="12.75" hidden="1">
      <c r="C82" s="267">
        <f>IF(E9&gt;G51,E9*6%,(IF(E9&lt;=F50,0,IF(AND(E9&gt;F50,E9&lt;=G50),E9*2%-(F50-(E9-(E9*2%))),IF(AND(E9&gt;F51,E9&lt;=G51),E9*6%-(I51-(E9-(E9*6%))),E9*2%)))))</f>
        <v>0</v>
      </c>
    </row>
    <row r="83" ht="13.5" hidden="1" thickBot="1">
      <c r="C83" s="268">
        <f>IF(D9&gt;G51,D9*6%,(IF(D9&lt;=F50,0,IF(AND(D9&gt;F50,D9&lt;=G50),D9*2%-(F50-(D9-(D9*2%))),IF(AND(D9&gt;F51,D9&lt;=G51),D9*6%-(I51-(D9-(D9*6%))),D9*2%)))))</f>
        <v>0</v>
      </c>
    </row>
    <row r="84" spans="2:3" ht="18.75" hidden="1" thickBot="1">
      <c r="B84" s="143" t="s">
        <v>45</v>
      </c>
      <c r="C84" s="269">
        <f>SUM(C81:C83)</f>
        <v>0</v>
      </c>
    </row>
    <row r="85" ht="12.75" hidden="1"/>
    <row r="86" ht="12.75" hidden="1"/>
    <row r="87" ht="12.75" hidden="1"/>
    <row r="88" ht="13.5" hidden="1" thickBot="1"/>
    <row r="89" spans="3:5" ht="13.5" hidden="1" thickBot="1">
      <c r="C89" s="418" t="s">
        <v>49</v>
      </c>
      <c r="D89" s="419"/>
      <c r="E89" s="86">
        <f>Parámetros!E57</f>
        <v>59414</v>
      </c>
    </row>
    <row r="90" ht="13.5" hidden="1" thickBot="1"/>
    <row r="91" spans="4:5" ht="16.5" hidden="1" thickBot="1">
      <c r="D91" s="85" t="s">
        <v>50</v>
      </c>
      <c r="E91" s="156">
        <f>C49*15%</f>
        <v>0</v>
      </c>
    </row>
    <row r="92" spans="4:5" ht="16.5" hidden="1" thickBot="1">
      <c r="D92" s="85" t="s">
        <v>51</v>
      </c>
      <c r="E92" s="156">
        <f>IF(C49&lt;=E89,C49*15%,E89*15%)</f>
        <v>0</v>
      </c>
    </row>
    <row r="93" ht="13.5" hidden="1" thickBot="1">
      <c r="E93" s="1"/>
    </row>
    <row r="94" spans="4:5" ht="18.75" hidden="1" thickBot="1">
      <c r="D94" s="85" t="s">
        <v>53</v>
      </c>
      <c r="E94" s="157">
        <f>IF(G7=1,E92,E91)</f>
        <v>0</v>
      </c>
    </row>
    <row r="95" ht="13.5" hidden="1" thickBot="1"/>
    <row r="96" spans="2:7" ht="27.75" hidden="1" thickBot="1" thickTop="1">
      <c r="B96" s="420" t="s">
        <v>22</v>
      </c>
      <c r="C96" s="421"/>
      <c r="D96" s="421"/>
      <c r="E96" s="421"/>
      <c r="F96" s="421"/>
      <c r="G96" s="184">
        <f>C119</f>
        <v>0</v>
      </c>
    </row>
    <row r="97" ht="13.5" hidden="1" thickBot="1"/>
    <row r="98" spans="2:4" ht="21" hidden="1" thickBot="1">
      <c r="B98" s="397" t="s">
        <v>11</v>
      </c>
      <c r="C98" s="398"/>
      <c r="D98" s="399"/>
    </row>
    <row r="99" spans="2:5" ht="18.75" hidden="1" thickBot="1">
      <c r="B99" s="422" t="s">
        <v>64</v>
      </c>
      <c r="C99" s="423"/>
      <c r="D99" s="424"/>
      <c r="E99" s="215">
        <f>Parámetros!E4</f>
        <v>2106</v>
      </c>
    </row>
    <row r="100" ht="13.5" hidden="1" thickBot="1"/>
    <row r="101" spans="2:4" ht="21" hidden="1" thickBot="1">
      <c r="B101" s="403" t="s">
        <v>11</v>
      </c>
      <c r="C101" s="404"/>
      <c r="D101" s="405"/>
    </row>
    <row r="102" spans="2:5" ht="18.75" hidden="1" thickBot="1">
      <c r="B102" s="425" t="s">
        <v>114</v>
      </c>
      <c r="C102" s="426"/>
      <c r="D102" s="427"/>
      <c r="E102" s="126">
        <f>Parámetros!E9</f>
        <v>4212</v>
      </c>
    </row>
    <row r="103" ht="13.5" hidden="1" thickBot="1"/>
    <row r="104" spans="1:7" ht="16.5" hidden="1" thickBot="1">
      <c r="A104" s="382" t="s">
        <v>23</v>
      </c>
      <c r="B104" s="396"/>
      <c r="C104" s="383"/>
      <c r="E104" s="382" t="s">
        <v>25</v>
      </c>
      <c r="F104" s="396"/>
      <c r="G104" s="383"/>
    </row>
    <row r="105" spans="2:6" ht="18.75" hidden="1" thickBot="1">
      <c r="B105" s="46">
        <f>IF(G5=0,0,(E94+C50+C48+(C20/12)+(F20/12)+C21+F21+(G14*E99)+(G16*E102)))</f>
        <v>0</v>
      </c>
      <c r="E105" s="84">
        <f>IF(A25&gt;E128,A25*1%,A25*3%)</f>
        <v>0</v>
      </c>
      <c r="F105" s="49">
        <f>IF(A25&lt;=0,0,IF(AND(A29&lt;=0,B105&lt;=0),F108,IF(AND(A29&lt;=0,E105&gt;0),E102+E105,F108)))</f>
        <v>0</v>
      </c>
    </row>
    <row r="106" spans="2:6" ht="18.75" hidden="1" thickBot="1">
      <c r="B106" s="87"/>
      <c r="E106" s="88"/>
      <c r="F106" s="49"/>
    </row>
    <row r="107" ht="13.5" hidden="1" thickBot="1"/>
    <row r="108" spans="1:6" ht="16.5" hidden="1" thickBot="1">
      <c r="A108" s="83"/>
      <c r="C108" s="382" t="s">
        <v>26</v>
      </c>
      <c r="D108" s="383"/>
      <c r="E108" s="85">
        <f>IF(G5&lt;=0,(C20/12)+(F20/12)+C21+F21+G14*E99+G16*E102,0)</f>
        <v>0</v>
      </c>
      <c r="F108" s="86">
        <f>E108+E105+E102</f>
        <v>4212</v>
      </c>
    </row>
    <row r="109" spans="3:4" ht="21" hidden="1" thickBot="1">
      <c r="C109" s="384">
        <f>IF(A29&lt;=0,0,IF(AND(A25&lt;=0,B105&lt;=0),F108,IF(AND(A25&lt;=0,B105&gt;0),F108,0)))</f>
        <v>0</v>
      </c>
      <c r="D109" s="385"/>
    </row>
    <row r="110" spans="3:4" ht="21" hidden="1" thickBot="1">
      <c r="C110" s="36"/>
      <c r="D110" s="36"/>
    </row>
    <row r="111" spans="2:5" ht="24" hidden="1" thickBot="1">
      <c r="B111" s="388" t="s">
        <v>35</v>
      </c>
      <c r="C111" s="389"/>
      <c r="D111" s="390"/>
      <c r="E111" s="47">
        <f>B105</f>
        <v>0</v>
      </c>
    </row>
    <row r="112" ht="13.5" hidden="1" thickBot="1"/>
    <row r="113" spans="2:7" ht="13.5" hidden="1" thickBot="1">
      <c r="B113" s="41" t="s">
        <v>5</v>
      </c>
      <c r="C113" s="52" t="s">
        <v>18</v>
      </c>
      <c r="D113" s="41" t="s">
        <v>9</v>
      </c>
      <c r="E113" s="53" t="s">
        <v>88</v>
      </c>
      <c r="G113" s="54" t="s">
        <v>5</v>
      </c>
    </row>
    <row r="114" spans="1:7" ht="15" hidden="1">
      <c r="A114" s="37">
        <f>IF(E111&lt;=G114,E111,G114)</f>
        <v>0</v>
      </c>
      <c r="B114" s="100" t="s">
        <v>115</v>
      </c>
      <c r="C114" s="101">
        <f>IF(A114&lt;=0,0,A114)</f>
        <v>0</v>
      </c>
      <c r="D114" s="102">
        <v>0.1</v>
      </c>
      <c r="E114" s="103">
        <f>C114*D114</f>
        <v>0</v>
      </c>
      <c r="G114" s="122">
        <f>3*Parámetros!E32</f>
        <v>5832</v>
      </c>
    </row>
    <row r="115" spans="1:7" ht="15" hidden="1">
      <c r="A115" s="37">
        <f>IF(E111&gt;=G115,G115-G114,E111-G114)</f>
        <v>-5832</v>
      </c>
      <c r="B115" s="104" t="s">
        <v>116</v>
      </c>
      <c r="C115" s="105">
        <f>IF(A115&lt;=0,0,A115)</f>
        <v>0</v>
      </c>
      <c r="D115" s="106">
        <v>0.15</v>
      </c>
      <c r="E115" s="107">
        <f>C115*D115</f>
        <v>0</v>
      </c>
      <c r="G115" s="123">
        <f>8*Parámetros!E32</f>
        <v>15552</v>
      </c>
    </row>
    <row r="116" spans="1:7" ht="15" hidden="1">
      <c r="A116" s="37">
        <f>IF(E111&gt;=G116,G116-G115,E111-G115)</f>
        <v>-15552</v>
      </c>
      <c r="B116" s="108" t="s">
        <v>117</v>
      </c>
      <c r="C116" s="109">
        <f>IF(A116&lt;=0,0,A116)</f>
        <v>0</v>
      </c>
      <c r="D116" s="110">
        <v>0.2</v>
      </c>
      <c r="E116" s="111">
        <f>C116*D116</f>
        <v>0</v>
      </c>
      <c r="G116" s="124">
        <f>43*Parámetros!E32</f>
        <v>83592</v>
      </c>
    </row>
    <row r="117" spans="1:7" ht="15.75" hidden="1" thickBot="1">
      <c r="A117" s="37">
        <f>IF(E111&gt;=G117,G117-G116,E111-G116)</f>
        <v>-83592</v>
      </c>
      <c r="B117" s="112" t="s">
        <v>118</v>
      </c>
      <c r="C117" s="113">
        <f>IF(A117&lt;=0,0,A117)</f>
        <v>0</v>
      </c>
      <c r="D117" s="114">
        <v>0.22</v>
      </c>
      <c r="E117" s="115">
        <f>C117*D117</f>
        <v>0</v>
      </c>
      <c r="G117" s="125">
        <f>93*Parámetros!E32</f>
        <v>180792</v>
      </c>
    </row>
    <row r="118" spans="1:5" ht="15.75" hidden="1" thickBot="1">
      <c r="A118" s="37">
        <f>IF(E111&gt;G117,E111-G117,0)</f>
        <v>0</v>
      </c>
      <c r="B118" s="116" t="s">
        <v>119</v>
      </c>
      <c r="C118" s="117">
        <f>IF(A118&lt;=0,0,A118)</f>
        <v>0</v>
      </c>
      <c r="D118" s="182">
        <v>0.25</v>
      </c>
      <c r="E118" s="183">
        <f>C118*D118</f>
        <v>0</v>
      </c>
    </row>
    <row r="119" spans="2:5" ht="27" hidden="1" thickBot="1">
      <c r="B119" s="120"/>
      <c r="C119" s="411">
        <f>SUM(E114:E118)</f>
        <v>0</v>
      </c>
      <c r="D119" s="412"/>
      <c r="E119" s="413"/>
    </row>
    <row r="120" ht="12.75" hidden="1"/>
    <row r="121" ht="13.5" hidden="1" thickBot="1"/>
    <row r="122" spans="4:5" ht="24" hidden="1" thickBot="1">
      <c r="D122" s="34" t="s">
        <v>4</v>
      </c>
      <c r="E122" s="81">
        <f>Parámetros!E32</f>
        <v>1944</v>
      </c>
    </row>
    <row r="123" ht="12.75" hidden="1"/>
    <row r="124" ht="13.5" hidden="1" thickBot="1"/>
    <row r="125" spans="3:5" ht="21" hidden="1" thickBot="1">
      <c r="C125" s="391" t="s">
        <v>39</v>
      </c>
      <c r="D125" s="392"/>
      <c r="E125" s="50">
        <f>3*E122</f>
        <v>5832</v>
      </c>
    </row>
    <row r="126" spans="3:5" ht="16.5" hidden="1" thickBot="1">
      <c r="C126" s="414" t="s">
        <v>24</v>
      </c>
      <c r="D126" s="415"/>
      <c r="E126" s="45">
        <f>3*E122+1</f>
        <v>5833</v>
      </c>
    </row>
    <row r="127" ht="13.5" hidden="1" thickBot="1"/>
    <row r="128" spans="3:5" ht="21" hidden="1" thickBot="1">
      <c r="C128" s="416" t="s">
        <v>31</v>
      </c>
      <c r="D128" s="417"/>
      <c r="E128" s="82">
        <f>Parámetros!E45</f>
        <v>5519.29</v>
      </c>
    </row>
    <row r="129" ht="12.75" hidden="1"/>
    <row r="130" ht="13.5" hidden="1" thickBot="1"/>
    <row r="131" spans="3:5" ht="21.75" hidden="1" thickBot="1" thickTop="1">
      <c r="C131" s="409" t="s">
        <v>52</v>
      </c>
      <c r="D131" s="410"/>
      <c r="E131" s="181">
        <f>Parámetros!E57</f>
        <v>59414</v>
      </c>
    </row>
    <row r="132" ht="12.75" hidden="1"/>
    <row r="133" ht="12.75" hidden="1"/>
    <row r="134" ht="12.75" hidden="1"/>
    <row r="135" ht="12.75" hidden="1"/>
    <row r="136" ht="13.5" thickTop="1"/>
  </sheetData>
  <sheetProtection password="E71E" sheet="1" objects="1" scenarios="1"/>
  <mergeCells count="45">
    <mergeCell ref="C3:E3"/>
    <mergeCell ref="B4:F4"/>
    <mergeCell ref="B6:F6"/>
    <mergeCell ref="B7:F7"/>
    <mergeCell ref="B8:F8"/>
    <mergeCell ref="B11:F11"/>
    <mergeCell ref="B13:F13"/>
    <mergeCell ref="B14:F14"/>
    <mergeCell ref="B16:F16"/>
    <mergeCell ref="B18:F18"/>
    <mergeCell ref="B19:F19"/>
    <mergeCell ref="C23:E23"/>
    <mergeCell ref="B24:G24"/>
    <mergeCell ref="C27:E27"/>
    <mergeCell ref="B28:G28"/>
    <mergeCell ref="B31:E31"/>
    <mergeCell ref="F31:G31"/>
    <mergeCell ref="C39:D39"/>
    <mergeCell ref="F39:G39"/>
    <mergeCell ref="B41:E41"/>
    <mergeCell ref="F41:G41"/>
    <mergeCell ref="C44:D44"/>
    <mergeCell ref="F44:G44"/>
    <mergeCell ref="B46:E46"/>
    <mergeCell ref="F46:G46"/>
    <mergeCell ref="E49:F49"/>
    <mergeCell ref="B58:E58"/>
    <mergeCell ref="C64:D64"/>
    <mergeCell ref="B80:D80"/>
    <mergeCell ref="C89:D89"/>
    <mergeCell ref="B96:F96"/>
    <mergeCell ref="B98:D98"/>
    <mergeCell ref="B99:D99"/>
    <mergeCell ref="B101:D101"/>
    <mergeCell ref="B102:D102"/>
    <mergeCell ref="A104:C104"/>
    <mergeCell ref="E104:G104"/>
    <mergeCell ref="C108:D108"/>
    <mergeCell ref="C109:D109"/>
    <mergeCell ref="B111:D111"/>
    <mergeCell ref="C119:E119"/>
    <mergeCell ref="C125:D125"/>
    <mergeCell ref="C126:D126"/>
    <mergeCell ref="C128:D128"/>
    <mergeCell ref="C131:D131"/>
  </mergeCells>
  <dataValidations count="26">
    <dataValidation type="whole" allowBlank="1" showInputMessage="1" showErrorMessage="1" errorTitle="Dato no válido" error="Solo podrás ingresar números enteros, sin decimales. Tampoco digites puntos o comas." sqref="G14:G19">
      <formula1>0</formula1>
      <formula2>1E+33</formula2>
    </dataValidation>
    <dataValidation type="whole" allowBlank="1" showInputMessage="1" showErrorMessage="1" sqref="G8">
      <formula1>0</formula1>
      <formula2>1E+33</formula2>
    </dataValidation>
    <dataValidation type="whole" allowBlank="1" showInputMessage="1" showErrorMessage="1" promptTitle="PASIVIDAD" prompt="DIGITA AQUÍ DONDE ESTAS PARADO, EL IMPORTE DE TU PASIVIDAD NOMINAL, SIN DECIMALES Y SIN AGREGAR PUNTOS O COMAS. " sqref="G26">
      <formula1>0</formula1>
      <formula2>1E+37</formula2>
    </dataValidation>
    <dataValidation type="whole" allowBlank="1" showInputMessage="1" showErrorMessage="1" promptTitle="SUELDO" prompt="DIGITÁ AQUÍ DONDE ESTAS POSICIONADO, TU SUELDO NOMINAL O BRUTO SIN RESTARLE NINGUNA PARTIDA, (VER HOJA GUIA TRABAJADOR.&#10;INGRESALO SIN DECIMALES Y SIN AGREGAR PUNTOS O COMAS." errorTitle="Dato no válido" error="Solo podrás ingresar números enteros, sin decimales. Tampoco digites puntos o comas." sqref="G5">
      <formula1>0</formula1>
      <formula2>1E+36</formula2>
    </dataValidation>
    <dataValidation allowBlank="1" showInputMessage="1" showErrorMessage="1" promptTitle="B.P.C." prompt="Ingresar el valor actual de la Base de Prestaciones y Contribuciones, decretada por el Poder Ejecutivo" sqref="F55"/>
    <dataValidation type="whole" allowBlank="1" showInputMessage="1" showErrorMessage="1" promptTitle="PENSION" prompt="DIGITAR EL IMPORTE DE TU PENSIÓN NOMINAL, SIN DECIMALES. TAMPOCO DIGITES PUNTOS O COMAS.&#10;EN CASO DE TENER MAS DE UNA PENSIÓN, INGRESAR UNA POR CELDA.&#10;VER HOJA DE GUIA PENSIÓN." errorTitle="Dato no válido." error="Solo podras ingresar números enteros, sin decimales, puntos o comas" sqref="G29">
      <formula1>0</formula1>
      <formula2>1E+37</formula2>
    </dataValidation>
    <dataValidation type="whole" allowBlank="1" showInputMessage="1" showErrorMessage="1" promptTitle="JUBILACIÓN" prompt="DIGITAR AQUÍ, EL IMPORTE DE TU JUBILACIÓN NOMINAL, SIN DECIMALES Y SIN AGREGAR PUNTOS O COMAS. &#10;EN CASO DE TENER MAS DE UNA JUBILACIÓN, INGRESAR UNA JUBILACIÓN POR CELDA.&#10;VER HOJA DE GUIA JUBILACIÓN." errorTitle="Dato no válido" error="Solo podras ingresar números enteros, sin decimales, puntos o comas." sqref="G25">
      <formula1>0</formula1>
      <formula2>1E+37</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errorTitle="Dato no válido" error="Debes ingresar un número entero, sin decimilas, ni comas ni puntos." sqref="G10">
      <formula1>0</formula1>
      <formula2>1E+33</formula2>
    </dataValidation>
    <dataValidation type="whole" allowBlank="1" showInputMessage="1" showErrorMessage="1" promptTitle="BRUTO SIN PARTIDAS NO GRAVADAS" prompt="Ingresá tu SUELDO NOMINAL restandole al mismo las partidas no gravadas por el B.P.S. Por ejemplo: TICKETS ALIMENTACIÒN, TICKETS TRANSPORTE,  SEGUNDO AGUINALDO y otros, (ver hoja GUIA TRABAJADOR, punto 3). &#10;Ingresá el monto sin decimales, puntos o comas." errorTitle="Dato no válido" error="Debes ingresar un número entero, sin decimilas, ni comas ni puntos." sqref="G12">
      <formula1>0</formula1>
      <formula2>1E+33</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VER HOJA GUIA TRABAJADOR, punto 3). Ingresalo sin decimales, puntos o comas." errorTitle="Dato no válido" error="Debes ingresar un número entero, sin decimilas, ni comas ni puntos." sqref="G9">
      <formula1>0</formula1>
      <formula2>1E+33</formula2>
    </dataValidation>
    <dataValidation type="whole" allowBlank="1" showInputMessage="1" showErrorMessage="1" promptTitle="APORTES a CAJA de PROFESIONALES " prompt="Ingresar el aporte mensual a la CAJA DE JUBILACIONES y PENSIONES DE PROFESIONALES UNIVERSITARIOS." errorTitle="Dato no válido" error="Debe ingresar un número entero." sqref="C21">
      <formula1>1</formula1>
      <formula2>1000000000000000000</formula2>
    </dataValidation>
    <dataValidation type="whole" allowBlank="1" showInputMessage="1" showErrorMessage="1" promptTitle="REINTEGROS CAJA PROFESIONAL" prompt="Ingresar el importe mensual de los REINTEGROS de CAJA DE JUBILACIONES Y PENSIONES DE PROFESIONALES UNIVERSITARIOS." errorTitle="Dato no válido" error="Ingresar un número entero, sin puntos ni comas." sqref="F21">
      <formula1>1</formula1>
      <formula2>10000000000000000000</formula2>
    </dataValidation>
    <dataValidation type="whole" allowBlank="1" showInputMessage="1" showErrorMessage="1" promptTitle="FONDO DE SOLIDARIDAD" prompt="Ingresar la cifra anual que se paga por concepto de Fondo de Solidaridad. En caso de los Técnicos de Administración es la mitad de una B.P.C." errorTitle="Dato no válido" error="Debe ingresar un número entero." sqref="C20">
      <formula1>1</formula1>
      <formula2>1000000000000000000</formula2>
    </dataValidation>
    <dataValidation type="whole" allowBlank="1" showInputMessage="1" showErrorMessage="1" promptTitle="ADICIONAL F.de SOLIDARIDAD" prompt="Ingresar el importe anual por concepto de adicional del FONDO de SOLIDARIDAD" errorTitle="Dato no válido" error="Ingresar un número entero" sqref="F20">
      <formula1>1</formula1>
      <formula2>10000000000000000000</formula2>
    </dataValidation>
    <dataValidation type="whole" allowBlank="1" showInputMessage="1" showErrorMessage="1" promptTitle="MULTIEMPLEO PUBLICO" prompt="Registrar un sueldo por empresa y por celda." errorTitle="Dato no válidoc" error="Debes ingresar un número entero, sin puntos ni comas." sqref="D9:E9">
      <formula1>0</formula1>
      <formula2>1000000000000000000</formula2>
    </dataValidation>
    <dataValidation type="whole" allowBlank="1" showInputMessage="1" showErrorMessage="1" promptTitle="MULTIEMPLEO PRIVADO" prompt="Registrar un sueldo por empresa y por celda." errorTitle="Dato no válido" error="Tienes que ingresar un número entero, sin puntos ni comas." sqref="B12:F12">
      <formula1>0</formula1>
      <formula2>1E+22</formula2>
    </dataValidation>
    <dataValidation type="whole" allowBlank="1" showInputMessage="1" showErrorMessage="1" promptTitle="MULTI-JUBILACIÓN" prompt="Registrar una jubilación por celda." errorTitle="Dato no válido" error="Ingresar un número entero, sin comas ni puntos." sqref="D25:E25">
      <formula1>0</formula1>
      <formula2>1000000000000000000</formula2>
    </dataValidation>
    <dataValidation type="whole" allowBlank="1" showInputMessage="1" showErrorMessage="1" promptTitle="MULTI-PENSIÓN" prompt="Ingresar una pensión por celda" errorTitle="Dato no válido" error="Ingresar un número entero, sin puntos ni comas." sqref="D29:E29">
      <formula1>0</formula1>
      <formula2>10000000000000000</formula2>
    </dataValidation>
    <dataValidation type="whole" allowBlank="1" showInputMessage="1" showErrorMessage="1" promptTitle="REGIMEN NUEVO O DE TRANSICIÓN" prompt="Se debe marcar 1 en caso de NUEVO REGIMEN.&#10;Se debe marcar 2 en caso de REGIMEN de TRANSICIÓN." errorTitle="Dato no válido" error="Solo se puede ingresar el valor 1 o el valor 2" sqref="G7">
      <formula1>1</formula1>
      <formula2>2</formula2>
    </dataValidation>
    <dataValidation type="whole" allowBlank="1" showInputMessage="1" showErrorMessage="1" sqref="F46:G46">
      <formula1>0</formula1>
      <formula2>10000000000000000</formula2>
    </dataValidation>
    <dataValidation type="whole" allowBlank="1" showInputMessage="1" showErrorMessage="1" sqref="G27">
      <formula1>0</formula1>
      <formula2>1E+37</formula2>
    </dataValidation>
    <dataValidation type="whole" allowBlank="1" showInputMessage="1" showErrorMessage="1" promptTitle="SUELDO NOMINAL" prompt="DEBE INGRESAR EL SUELDO NOMINAL SIN RESTAR NINGUNA PARTIDA. (VER GUIA TRABAJADOR)" errorTitle="Dato no válido" error="Debe ingresar un número entero, sin comas ni puntos." sqref="G4">
      <formula1>0</formula1>
      <formula2>1E+23</formula2>
    </dataValidation>
    <dataValidation type="whole" allowBlank="1" showInputMessage="1" showErrorMessage="1" promptTitle="HIJOS MENORES DE 18 AÑOS" prompt="DIGITÁ AQUÍ DONDE ESTAS POSICIONADO, 1 SI TENES HIJOS MENORES DE 18 AÑOS O DISCAPACITADOS DE CUALQUIER EDAD A TU CARGO. DE LO CONTRARIO DIGITAR 0." errorTitle="Dato no válido" error="Solo podrás ingresar 1 o 0." sqref="G6">
      <formula1>0</formula1>
      <formula2>1</formula2>
    </dataValidation>
    <dataValidation type="whole" allowBlank="1" showInputMessage="1" showErrorMessage="1" promptTitle="B.P.C." prompt="Ingresar el valor de la BASE de PRESTACIONES y CONTRIBUCIONES. Ingresar el valor vigente, decretado por el Poder Ejecutivo. Varía en cada ocación de aumento de salarios a los funcionarios públicos." errorTitle="Dato no válido" error="Ingresar una cifra entera, sin decimales ni puntos ni comas." sqref="E122">
      <formula1>0</formula1>
      <formula2>1000000000000</formula2>
    </dataValidation>
    <dataValidation type="decimal" allowBlank="1" showInputMessage="1" showErrorMessage="1" promptTitle="TOPE CUOTA MUTUAL" prompt="Ingresar en esta celda el valor establecido por el Poder Ejecutivo, que hace de tope para poseer el derecho a la cuota mutual, para aquellas personas que se jubilaron como empleados en su última actividad laboral." errorTitle="Dato no válido" error="Debe ingresar un número con hasta dos decimales." sqref="E128">
      <formula1>0</formula1>
      <formula2>10000000000000</formula2>
    </dataValidation>
    <dataValidation allowBlank="1" showInputMessage="1" showErrorMessage="1" promptTitle="TOPE TERCER NIVEL, LEY 16713" prompt="Establecer el valor que fija el Poder Ejecutivo, como tope del aporte personal jubilatorio, para aquellas personas que están dentro del nuevo régimen, (solidaridad intergeneracional y AFAP)" sqref="E131"/>
  </dataValidations>
  <printOptions/>
  <pageMargins left="0.75" right="0.75" top="1" bottom="1" header="0" footer="0"/>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3:G131"/>
  <sheetViews>
    <sheetView workbookViewId="0" topLeftCell="B3">
      <selection activeCell="C20" sqref="C20"/>
    </sheetView>
  </sheetViews>
  <sheetFormatPr defaultColWidth="11.421875" defaultRowHeight="12.75"/>
  <cols>
    <col min="1" max="1" width="17.00390625" style="0" hidden="1" customWidth="1"/>
    <col min="2" max="2" width="18.140625" style="0" customWidth="1"/>
    <col min="3" max="3" width="15.57421875" style="0" customWidth="1"/>
    <col min="4" max="4" width="17.421875" style="0" customWidth="1"/>
    <col min="5" max="5" width="19.57421875" style="0" customWidth="1"/>
    <col min="6" max="6" width="13.00390625" style="0" customWidth="1"/>
    <col min="7" max="7" width="18.8515625" style="0" customWidth="1"/>
  </cols>
  <sheetData>
    <row r="1" ht="12.75" hidden="1"/>
    <row r="2" ht="13.5" hidden="1" thickBot="1"/>
    <row r="3" spans="3:5" ht="27" thickBot="1" thickTop="1">
      <c r="C3" s="478" t="s">
        <v>27</v>
      </c>
      <c r="D3" s="479"/>
      <c r="E3" s="480"/>
    </row>
    <row r="4" spans="2:7" ht="21.75" thickBot="1" thickTop="1">
      <c r="B4" s="481" t="s">
        <v>33</v>
      </c>
      <c r="C4" s="482"/>
      <c r="D4" s="482"/>
      <c r="E4" s="482"/>
      <c r="F4" s="483"/>
      <c r="G4" s="273"/>
    </row>
    <row r="5" spans="2:7" ht="24" hidden="1" thickBot="1" thickTop="1">
      <c r="B5" s="11"/>
      <c r="C5" s="11"/>
      <c r="D5" s="11"/>
      <c r="E5" s="23"/>
      <c r="F5" s="11"/>
      <c r="G5" s="274"/>
    </row>
    <row r="6" spans="2:7" ht="30" customHeight="1" thickBot="1" thickTop="1">
      <c r="B6" s="484" t="s">
        <v>102</v>
      </c>
      <c r="C6" s="485"/>
      <c r="D6" s="485"/>
      <c r="E6" s="485"/>
      <c r="F6" s="486"/>
      <c r="G6" s="275"/>
    </row>
    <row r="7" spans="2:7" ht="30" customHeight="1" thickBot="1">
      <c r="B7" s="487" t="s">
        <v>103</v>
      </c>
      <c r="C7" s="488"/>
      <c r="D7" s="488"/>
      <c r="E7" s="488"/>
      <c r="F7" s="489"/>
      <c r="G7" s="276"/>
    </row>
    <row r="8" spans="2:7" ht="30" customHeight="1" thickBot="1" thickTop="1">
      <c r="B8" s="466" t="s">
        <v>57</v>
      </c>
      <c r="C8" s="467"/>
      <c r="D8" s="467"/>
      <c r="E8" s="467"/>
      <c r="F8" s="468"/>
      <c r="G8" s="162"/>
    </row>
    <row r="9" spans="1:7" ht="21.75" thickBot="1" thickTop="1">
      <c r="A9" s="293">
        <f>D9+E9+G9</f>
        <v>0</v>
      </c>
      <c r="B9" s="48"/>
      <c r="C9" s="48"/>
      <c r="D9" s="151"/>
      <c r="E9" s="152"/>
      <c r="F9" s="48"/>
      <c r="G9" s="153"/>
    </row>
    <row r="10" spans="2:7" ht="21.75" hidden="1" thickBot="1">
      <c r="B10" s="144"/>
      <c r="C10" s="48"/>
      <c r="D10" s="48"/>
      <c r="E10" s="48"/>
      <c r="F10" s="48"/>
      <c r="G10" s="12"/>
    </row>
    <row r="11" spans="2:7" ht="30" customHeight="1" thickBot="1" thickTop="1">
      <c r="B11" s="469" t="s">
        <v>63</v>
      </c>
      <c r="C11" s="470"/>
      <c r="D11" s="470"/>
      <c r="E11" s="470"/>
      <c r="F11" s="471"/>
      <c r="G11" s="162"/>
    </row>
    <row r="12" spans="1:7" ht="21.75" thickBot="1" thickTop="1">
      <c r="A12" s="293">
        <f>B12+C12+D12+E12+F12+G12</f>
        <v>0</v>
      </c>
      <c r="B12" s="141"/>
      <c r="C12" s="140"/>
      <c r="D12" s="141"/>
      <c r="E12" s="140"/>
      <c r="F12" s="142"/>
      <c r="G12" s="131"/>
    </row>
    <row r="13" spans="2:7" ht="26.25" thickBot="1">
      <c r="B13" s="472" t="s">
        <v>27</v>
      </c>
      <c r="C13" s="473"/>
      <c r="D13" s="473"/>
      <c r="E13" s="473"/>
      <c r="F13" s="474"/>
      <c r="G13" s="162"/>
    </row>
    <row r="14" spans="2:7" ht="21.75" thickBot="1" thickTop="1">
      <c r="B14" s="475" t="s">
        <v>60</v>
      </c>
      <c r="C14" s="476"/>
      <c r="D14" s="476"/>
      <c r="E14" s="476"/>
      <c r="F14" s="477"/>
      <c r="G14" s="127"/>
    </row>
    <row r="15" spans="2:7" ht="21.75" hidden="1" thickBot="1" thickTop="1">
      <c r="B15" s="145"/>
      <c r="C15" s="277"/>
      <c r="D15" s="277"/>
      <c r="E15" s="277"/>
      <c r="F15" s="277"/>
      <c r="G15" s="128"/>
    </row>
    <row r="16" spans="2:7" ht="30" customHeight="1" thickBot="1" thickTop="1">
      <c r="B16" s="460" t="s">
        <v>61</v>
      </c>
      <c r="C16" s="461"/>
      <c r="D16" s="461"/>
      <c r="E16" s="461"/>
      <c r="F16" s="462"/>
      <c r="G16" s="173"/>
    </row>
    <row r="17" spans="2:7" ht="21.75" hidden="1" thickBot="1" thickTop="1">
      <c r="B17" s="150"/>
      <c r="C17" s="150"/>
      <c r="D17" s="150"/>
      <c r="E17" s="150"/>
      <c r="F17" s="150"/>
      <c r="G17" s="129"/>
    </row>
    <row r="18" spans="2:7" ht="27" thickBot="1" thickTop="1">
      <c r="B18" s="453" t="s">
        <v>27</v>
      </c>
      <c r="C18" s="454"/>
      <c r="D18" s="454"/>
      <c r="E18" s="454"/>
      <c r="F18" s="455"/>
      <c r="G18" s="162"/>
    </row>
    <row r="19" spans="2:7" ht="18" thickBot="1" thickTop="1">
      <c r="B19" s="463" t="s">
        <v>43</v>
      </c>
      <c r="C19" s="464"/>
      <c r="D19" s="464"/>
      <c r="E19" s="464"/>
      <c r="F19" s="465"/>
      <c r="G19" s="163"/>
    </row>
    <row r="20" spans="2:7" ht="28.5" thickBot="1" thickTop="1">
      <c r="B20" s="174" t="s">
        <v>32</v>
      </c>
      <c r="C20" s="175"/>
      <c r="D20" s="26"/>
      <c r="E20" s="177" t="s">
        <v>34</v>
      </c>
      <c r="F20" s="175"/>
      <c r="G20" s="162"/>
    </row>
    <row r="21" spans="2:7" ht="24" thickBot="1" thickTop="1">
      <c r="B21" s="176" t="s">
        <v>55</v>
      </c>
      <c r="C21" s="175"/>
      <c r="D21" s="26"/>
      <c r="E21" s="178" t="s">
        <v>56</v>
      </c>
      <c r="F21" s="175"/>
      <c r="G21" s="162"/>
    </row>
    <row r="22" spans="2:7" ht="21.75" hidden="1" thickBot="1">
      <c r="B22" s="26"/>
      <c r="C22" s="26"/>
      <c r="D22" s="26"/>
      <c r="E22" s="25"/>
      <c r="F22" s="25"/>
      <c r="G22" s="162"/>
    </row>
    <row r="23" spans="2:7" ht="27" hidden="1" thickBot="1" thickTop="1">
      <c r="B23" s="26"/>
      <c r="C23" s="453" t="s">
        <v>28</v>
      </c>
      <c r="D23" s="454"/>
      <c r="E23" s="455"/>
      <c r="F23" s="25"/>
      <c r="G23" s="162"/>
    </row>
    <row r="24" spans="2:7" ht="18" hidden="1" thickBot="1" thickTop="1">
      <c r="B24" s="450" t="s">
        <v>58</v>
      </c>
      <c r="C24" s="451"/>
      <c r="D24" s="451"/>
      <c r="E24" s="451"/>
      <c r="F24" s="451"/>
      <c r="G24" s="452"/>
    </row>
    <row r="25" spans="1:7" ht="22.5" hidden="1" thickBot="1" thickTop="1">
      <c r="A25" s="294">
        <f>D25+E25+G25</f>
        <v>0</v>
      </c>
      <c r="B25" s="19"/>
      <c r="C25" s="19"/>
      <c r="D25" s="146"/>
      <c r="E25" s="147"/>
      <c r="F25" s="19"/>
      <c r="G25" s="147"/>
    </row>
    <row r="26" spans="2:7" ht="25.5" hidden="1" thickBot="1">
      <c r="B26" s="19"/>
      <c r="C26" s="19"/>
      <c r="D26" s="19"/>
      <c r="E26" s="19"/>
      <c r="F26" s="19"/>
      <c r="G26" s="278"/>
    </row>
    <row r="27" spans="2:7" ht="27" hidden="1" thickBot="1" thickTop="1">
      <c r="B27" s="19"/>
      <c r="C27" s="453" t="s">
        <v>29</v>
      </c>
      <c r="D27" s="454"/>
      <c r="E27" s="455"/>
      <c r="F27" s="19"/>
      <c r="G27" s="161"/>
    </row>
    <row r="28" spans="2:7" ht="18" hidden="1" thickBot="1" thickTop="1">
      <c r="B28" s="450" t="s">
        <v>59</v>
      </c>
      <c r="C28" s="451"/>
      <c r="D28" s="451"/>
      <c r="E28" s="451"/>
      <c r="F28" s="451"/>
      <c r="G28" s="452"/>
    </row>
    <row r="29" spans="1:7" ht="22.5" hidden="1" thickBot="1" thickTop="1">
      <c r="A29" s="294">
        <f>D29+E29+G29</f>
        <v>0</v>
      </c>
      <c r="B29" s="19"/>
      <c r="C29" s="19"/>
      <c r="D29" s="148"/>
      <c r="E29" s="148"/>
      <c r="F29" s="139"/>
      <c r="G29" s="148"/>
    </row>
    <row r="30" spans="2:7" ht="17.25" hidden="1" thickBot="1">
      <c r="B30" s="25"/>
      <c r="C30" s="25"/>
      <c r="D30" s="25"/>
      <c r="E30" s="25"/>
      <c r="F30" s="24"/>
      <c r="G30" s="24"/>
    </row>
    <row r="31" spans="2:7" ht="24.75" thickBot="1" thickTop="1">
      <c r="B31" s="456" t="s">
        <v>104</v>
      </c>
      <c r="C31" s="457"/>
      <c r="D31" s="457"/>
      <c r="E31" s="458"/>
      <c r="F31" s="459"/>
      <c r="G31" s="459"/>
    </row>
    <row r="32" spans="2:7" ht="17.25" thickBot="1" thickTop="1">
      <c r="B32" s="154" t="s">
        <v>5</v>
      </c>
      <c r="C32" s="154" t="s">
        <v>8</v>
      </c>
      <c r="D32" s="155" t="s">
        <v>9</v>
      </c>
      <c r="E32" s="154" t="s">
        <v>88</v>
      </c>
      <c r="F32" s="51"/>
      <c r="G32" s="130" t="s">
        <v>5</v>
      </c>
    </row>
    <row r="33" spans="1:7" ht="16.5" thickBot="1">
      <c r="A33">
        <f>G33</f>
        <v>13608</v>
      </c>
      <c r="B33" s="60" t="s">
        <v>105</v>
      </c>
      <c r="C33" s="61">
        <f>G33</f>
        <v>13608</v>
      </c>
      <c r="D33" s="62">
        <v>0</v>
      </c>
      <c r="E33" s="63">
        <f aca="true" t="shared" si="0" ref="E33:E38">C33*D33</f>
        <v>0</v>
      </c>
      <c r="G33" s="55">
        <f>7*Parámetros!E32</f>
        <v>13608</v>
      </c>
    </row>
    <row r="34" spans="1:7" ht="16.5" thickBot="1">
      <c r="A34">
        <f>IF(C52&gt;=G34,G34-G33,C52-G33)</f>
        <v>-13608</v>
      </c>
      <c r="B34" s="64" t="s">
        <v>106</v>
      </c>
      <c r="C34" s="65">
        <f>IF(A34&lt;=0,0,A34)</f>
        <v>0</v>
      </c>
      <c r="D34" s="66">
        <v>0.1</v>
      </c>
      <c r="E34" s="67">
        <f t="shared" si="0"/>
        <v>0</v>
      </c>
      <c r="G34" s="56">
        <f>10*Parámetros!E32</f>
        <v>19440</v>
      </c>
    </row>
    <row r="35" spans="1:7" ht="16.5" thickBot="1">
      <c r="A35">
        <f>IF(C52&gt;=G35,G35-G34,C52-G34)</f>
        <v>-19440</v>
      </c>
      <c r="B35" s="68" t="s">
        <v>3</v>
      </c>
      <c r="C35" s="69">
        <f>IF(A35&lt;=0,0,A35)</f>
        <v>0</v>
      </c>
      <c r="D35" s="70">
        <v>0.15</v>
      </c>
      <c r="E35" s="71">
        <f t="shared" si="0"/>
        <v>0</v>
      </c>
      <c r="G35" s="57">
        <f>15*Parámetros!E32</f>
        <v>29160</v>
      </c>
    </row>
    <row r="36" spans="1:7" ht="16.5" thickBot="1">
      <c r="A36">
        <f>IF(C52&gt;=G36,G36-G35,C52-G35)</f>
        <v>-29160</v>
      </c>
      <c r="B36" s="72" t="s">
        <v>13</v>
      </c>
      <c r="C36" s="73">
        <f>IF(A36&lt;=0,0,A36)</f>
        <v>0</v>
      </c>
      <c r="D36" s="74">
        <v>0.2</v>
      </c>
      <c r="E36" s="75">
        <f t="shared" si="0"/>
        <v>0</v>
      </c>
      <c r="G36" s="58">
        <f>50*Parámetros!E32</f>
        <v>97200</v>
      </c>
    </row>
    <row r="37" spans="1:7" ht="16.5" thickBot="1">
      <c r="A37">
        <f>IF(C52&gt;=G37,G37-G36,C52-G36)</f>
        <v>-97200</v>
      </c>
      <c r="B37" s="76" t="s">
        <v>14</v>
      </c>
      <c r="C37" s="77">
        <f>IF(A37&lt;=0,0,A37)</f>
        <v>0</v>
      </c>
      <c r="D37" s="78">
        <v>0.22</v>
      </c>
      <c r="E37" s="79">
        <f t="shared" si="0"/>
        <v>0</v>
      </c>
      <c r="G37" s="59">
        <f>100*Parámetros!E32</f>
        <v>194400</v>
      </c>
    </row>
    <row r="38" spans="1:5" ht="16.5" thickBot="1">
      <c r="A38">
        <f>IF(C52&gt;G37,C52-G37,0)</f>
        <v>0</v>
      </c>
      <c r="B38" s="80" t="s">
        <v>15</v>
      </c>
      <c r="C38" s="279">
        <f>IF(A38&lt;=0,0,A38)</f>
        <v>0</v>
      </c>
      <c r="D38" s="280">
        <v>0.25</v>
      </c>
      <c r="E38" s="149">
        <f t="shared" si="0"/>
        <v>0</v>
      </c>
    </row>
    <row r="39" spans="3:7" ht="21.75" thickBot="1" thickTop="1">
      <c r="C39" s="442" t="s">
        <v>40</v>
      </c>
      <c r="D39" s="443"/>
      <c r="E39" s="281">
        <f>SUM(E34:E38)</f>
        <v>0</v>
      </c>
      <c r="F39" s="444"/>
      <c r="G39" s="444"/>
    </row>
    <row r="40" spans="3:7" ht="23.25" hidden="1" thickBot="1" thickTop="1">
      <c r="C40" s="283"/>
      <c r="D40" s="283"/>
      <c r="E40" s="284"/>
      <c r="F40" s="282"/>
      <c r="G40" s="282"/>
    </row>
    <row r="41" spans="2:7" ht="34.5" thickBot="1" thickTop="1">
      <c r="B41" s="445" t="s">
        <v>107</v>
      </c>
      <c r="C41" s="446"/>
      <c r="D41" s="446"/>
      <c r="E41" s="447"/>
      <c r="F41" s="448">
        <f>C51</f>
        <v>0</v>
      </c>
      <c r="G41" s="449"/>
    </row>
    <row r="42" spans="2:7" ht="21.75" hidden="1">
      <c r="B42" s="285"/>
      <c r="C42" s="286" t="s">
        <v>108</v>
      </c>
      <c r="D42" s="286"/>
      <c r="E42" s="287"/>
      <c r="F42" s="288"/>
      <c r="G42" s="288"/>
    </row>
    <row r="43" spans="3:7" ht="22.5" hidden="1" thickBot="1">
      <c r="C43" s="283"/>
      <c r="D43" s="283"/>
      <c r="E43" s="284"/>
      <c r="F43" s="282"/>
      <c r="G43" s="282"/>
    </row>
    <row r="44" spans="2:7" ht="39" thickBot="1" thickTop="1">
      <c r="B44" s="289" t="s">
        <v>104</v>
      </c>
      <c r="C44" s="433">
        <f>IF(E39-C119&lt;0,0,E39-C119)</f>
        <v>0</v>
      </c>
      <c r="D44" s="434"/>
      <c r="E44" s="290" t="s">
        <v>109</v>
      </c>
      <c r="F44" s="435">
        <f>C50</f>
        <v>0</v>
      </c>
      <c r="G44" s="436"/>
    </row>
    <row r="45" spans="6:7" ht="19.5" hidden="1" thickBot="1" thickTop="1">
      <c r="F45" s="27"/>
      <c r="G45" s="22"/>
    </row>
    <row r="46" spans="2:7" ht="42.75" hidden="1" thickBot="1" thickTop="1">
      <c r="B46" s="437" t="s">
        <v>30</v>
      </c>
      <c r="C46" s="438"/>
      <c r="D46" s="438"/>
      <c r="E46" s="439"/>
      <c r="F46" s="440" t="e">
        <f>E44-C55</f>
        <v>#VALUE!</v>
      </c>
      <c r="G46" s="441"/>
    </row>
    <row r="47" spans="3:7" ht="14.25" hidden="1" thickBot="1" thickTop="1">
      <c r="C47" s="1"/>
      <c r="G47" s="3"/>
    </row>
    <row r="48" spans="2:3" ht="16.5" hidden="1" thickBot="1">
      <c r="B48" s="41" t="s">
        <v>37</v>
      </c>
      <c r="C48" s="42">
        <f>IF(A12&gt;0,A12*0.125%,0)</f>
        <v>0</v>
      </c>
    </row>
    <row r="49" spans="2:6" ht="16.5" hidden="1" thickBot="1">
      <c r="B49" s="38" t="s">
        <v>120</v>
      </c>
      <c r="C49" s="40">
        <f>IF(A9&lt;=0,A12,A12+A9)</f>
        <v>0</v>
      </c>
      <c r="E49" s="428" t="s">
        <v>7</v>
      </c>
      <c r="F49" s="429"/>
    </row>
    <row r="50" spans="2:7" ht="16.5" hidden="1" thickBot="1">
      <c r="B50" s="39" t="s">
        <v>109</v>
      </c>
      <c r="C50" s="43">
        <f>IF(C49&lt;=G55,C49*3%,IF(G6&gt;0,C49*6%,C49*4.5%))</f>
        <v>0</v>
      </c>
      <c r="D50" s="172" t="s">
        <v>62</v>
      </c>
      <c r="E50" s="6">
        <v>0</v>
      </c>
      <c r="F50" s="20">
        <f>3*F55</f>
        <v>5832</v>
      </c>
      <c r="G50" s="168">
        <f>(F50+2)*1.02</f>
        <v>5950.68</v>
      </c>
    </row>
    <row r="51" spans="2:7" ht="16.5" hidden="1" thickBot="1">
      <c r="B51" s="96" t="s">
        <v>0</v>
      </c>
      <c r="C51" s="97">
        <f>E94</f>
        <v>0</v>
      </c>
      <c r="D51" s="42">
        <f>C51+C50+C48</f>
        <v>0</v>
      </c>
      <c r="E51" s="7">
        <v>0.02</v>
      </c>
      <c r="F51" s="21">
        <f>6*F55</f>
        <v>11664</v>
      </c>
      <c r="G51" s="168">
        <f>(F51+35)*1.06</f>
        <v>12400.94</v>
      </c>
    </row>
    <row r="52" spans="2:7" ht="16.5" hidden="1" thickBot="1">
      <c r="B52" s="90" t="s">
        <v>121</v>
      </c>
      <c r="C52" s="91">
        <f>G4</f>
        <v>0</v>
      </c>
      <c r="E52" s="8">
        <v>0.06</v>
      </c>
      <c r="F52" s="171">
        <f>(F55*6)+1</f>
        <v>11665</v>
      </c>
      <c r="G52" s="168">
        <f>(F51+4)*1.02</f>
        <v>11901.36</v>
      </c>
    </row>
    <row r="53" spans="2:7" ht="16.5" hidden="1" thickBot="1">
      <c r="B53" s="92" t="s">
        <v>41</v>
      </c>
      <c r="C53" s="93">
        <f>A25</f>
        <v>0</v>
      </c>
      <c r="E53" s="169"/>
      <c r="F53" s="170"/>
      <c r="G53" s="1"/>
    </row>
    <row r="54" spans="2:7" ht="16.5" hidden="1" thickBot="1">
      <c r="B54" s="94" t="s">
        <v>42</v>
      </c>
      <c r="C54" s="95">
        <f>A29</f>
        <v>0</v>
      </c>
      <c r="D54" s="291">
        <f>C53+C54</f>
        <v>0</v>
      </c>
      <c r="F54" s="2"/>
      <c r="G54" s="291" t="s">
        <v>110</v>
      </c>
    </row>
    <row r="55" spans="2:7" ht="21" hidden="1" thickBot="1">
      <c r="B55" s="98" t="s">
        <v>36</v>
      </c>
      <c r="C55" s="99" t="e">
        <f>#REF!+F44</f>
        <v>#REF!</v>
      </c>
      <c r="E55" s="35" t="s">
        <v>4</v>
      </c>
      <c r="F55" s="89">
        <f>Parámetros!E32</f>
        <v>1944</v>
      </c>
      <c r="G55" s="292">
        <f>2.5*F55</f>
        <v>4860</v>
      </c>
    </row>
    <row r="56" spans="2:3" ht="18.75" hidden="1" thickBot="1">
      <c r="B56" s="158" t="s">
        <v>54</v>
      </c>
      <c r="C56" s="159">
        <f>C48+C50+C51</f>
        <v>0</v>
      </c>
    </row>
    <row r="57" ht="13.5" hidden="1" thickBot="1"/>
    <row r="58" spans="2:5" ht="18.75" hidden="1" thickBot="1">
      <c r="B58" s="374" t="s">
        <v>12</v>
      </c>
      <c r="C58" s="375"/>
      <c r="D58" s="375"/>
      <c r="E58" s="376"/>
    </row>
    <row r="59" spans="2:7" ht="15.75" hidden="1" thickBot="1">
      <c r="B59" s="10" t="s">
        <v>5</v>
      </c>
      <c r="C59" s="9" t="s">
        <v>8</v>
      </c>
      <c r="D59" s="10" t="s">
        <v>9</v>
      </c>
      <c r="E59" s="10" t="s">
        <v>88</v>
      </c>
      <c r="G59" s="165"/>
    </row>
    <row r="60" spans="1:7" ht="12.75" hidden="1">
      <c r="A60">
        <f>G60</f>
        <v>15552</v>
      </c>
      <c r="B60" s="28" t="s">
        <v>111</v>
      </c>
      <c r="C60" s="13">
        <f>'[1]DEDUCCIONES'!D29*5</f>
        <v>0</v>
      </c>
      <c r="D60" s="4">
        <v>0</v>
      </c>
      <c r="E60" s="16">
        <f>C60*D60</f>
        <v>0</v>
      </c>
      <c r="G60" s="298">
        <f>8*Parámetros!E32</f>
        <v>15552</v>
      </c>
    </row>
    <row r="61" spans="1:7" ht="12.75" hidden="1">
      <c r="A61">
        <f>IF(D54&gt;=G61,G60,D54-G60)</f>
        <v>-15552</v>
      </c>
      <c r="B61" s="29" t="s">
        <v>112</v>
      </c>
      <c r="C61" s="14">
        <f>IF(A36&lt;=0,0,A36)</f>
        <v>0</v>
      </c>
      <c r="D61" s="5">
        <v>0.1</v>
      </c>
      <c r="E61" s="17">
        <f>C61*D61</f>
        <v>0</v>
      </c>
      <c r="G61" s="299">
        <f>15*Parámetros!E32</f>
        <v>29160</v>
      </c>
    </row>
    <row r="62" spans="1:7" ht="13.5" hidden="1" thickBot="1">
      <c r="A62">
        <f>IF(D54&gt;=G62,G60,D54-G61)</f>
        <v>-29160</v>
      </c>
      <c r="B62" s="29" t="s">
        <v>16</v>
      </c>
      <c r="C62" s="15">
        <f>IF(A37&lt;=0,0,A37)</f>
        <v>0</v>
      </c>
      <c r="D62" s="5">
        <v>0.15</v>
      </c>
      <c r="E62" s="17">
        <f>C62*D62</f>
        <v>0</v>
      </c>
      <c r="G62" s="300">
        <f>50*Parámetros!E32</f>
        <v>97200</v>
      </c>
    </row>
    <row r="63" spans="1:7" ht="13.5" hidden="1" thickBot="1">
      <c r="A63">
        <f>IF(D54&gt;G62,D54-G62,0)</f>
        <v>0</v>
      </c>
      <c r="B63" s="30" t="s">
        <v>17</v>
      </c>
      <c r="C63" s="31">
        <f>IF(A38&lt;=0,0,A38)</f>
        <v>0</v>
      </c>
      <c r="D63" s="32">
        <v>0.25</v>
      </c>
      <c r="E63" s="33">
        <f>C63*D63</f>
        <v>0</v>
      </c>
      <c r="G63" s="166"/>
    </row>
    <row r="64" spans="3:7" ht="18.75" hidden="1" thickBot="1">
      <c r="C64" s="374" t="s">
        <v>6</v>
      </c>
      <c r="D64" s="376"/>
      <c r="E64" s="18">
        <f>SUM(E61:E62)</f>
        <v>0</v>
      </c>
      <c r="G64" s="166"/>
    </row>
    <row r="65" spans="1:7" ht="12.75" hidden="1">
      <c r="A65" s="295"/>
      <c r="B65" s="295"/>
      <c r="C65" s="27"/>
      <c r="D65" s="27"/>
      <c r="E65" s="296"/>
      <c r="F65" s="295"/>
      <c r="G65" s="297"/>
    </row>
    <row r="66" spans="1:7" ht="12.75" hidden="1">
      <c r="A66" s="295"/>
      <c r="B66" s="295"/>
      <c r="C66" s="27"/>
      <c r="D66" s="27"/>
      <c r="E66" s="296"/>
      <c r="F66" s="295"/>
      <c r="G66" s="297"/>
    </row>
    <row r="67" ht="12.75" hidden="1">
      <c r="G67" s="27"/>
    </row>
    <row r="68" ht="12.75" hidden="1">
      <c r="G68" s="27"/>
    </row>
    <row r="69" ht="13.5" hidden="1" thickBot="1">
      <c r="G69" s="166"/>
    </row>
    <row r="70" spans="2:7" ht="16.5" hidden="1" thickBot="1">
      <c r="B70" s="135" t="s">
        <v>44</v>
      </c>
      <c r="C70" s="136"/>
      <c r="D70" s="137"/>
      <c r="G70" s="167"/>
    </row>
    <row r="71" ht="13.5" hidden="1" thickBot="1">
      <c r="C71" s="132"/>
    </row>
    <row r="72" spans="3:7" ht="13.5" hidden="1" thickBot="1">
      <c r="C72" s="264">
        <f>IF(B12&gt;G51,B12*6%,(IF(B12&lt;=F50,0,IF(AND(B12&gt;F50,B12&lt;=G50),B12*2%-(F50-(B12-(B12*2%))),IF(AND(B12&gt;F51,B12&lt;=G51),B12*6%-(I51-(B12-(B12*6%))),B12*2%)))))</f>
        <v>0</v>
      </c>
      <c r="E72" s="133" t="s">
        <v>46</v>
      </c>
      <c r="G72" s="164"/>
    </row>
    <row r="73" spans="3:7" ht="16.5" hidden="1" thickBot="1">
      <c r="C73" s="264">
        <f>IF(C12&gt;G51,C12*6%,(IF(C12&lt;=F50,0,IF(AND(C12&gt;F50,C12&lt;=G50),C12*2%-(F50-(C12-(C12*2%))),IF(AND(C12&gt;F51,C12&lt;=G51),C12*6%-(I51-(C12-(C12*6%))),C12*2%)))))</f>
        <v>0</v>
      </c>
      <c r="E73" s="93">
        <f>IF(G25&gt;G52,G25*2%,(IF(G25&lt;=F51,0,G25-F51)))+IF(E25&gt;G52,E25*2%,(IF(E25&lt;=F51,0,E25-F51)))+IF(D25&gt;G52,D25*2%,(IF(D25&lt;=F51,0,D25-F51)))</f>
        <v>0</v>
      </c>
      <c r="G73" s="164"/>
    </row>
    <row r="74" spans="3:7" ht="13.5" hidden="1" thickBot="1">
      <c r="C74" s="264">
        <f>IF(D12&gt;G51,D12*6%,(IF(D12&lt;=F50,0,IF(AND(D12&gt;F50,D12&lt;=G50),D12*2%-(F50-(D12-(D12*2%))),IF(AND(D12&gt;F51,D12&lt;=G51),D12*6%-(I51-(D12-(D12*6%))),D12*2%)))))</f>
        <v>0</v>
      </c>
      <c r="G74" s="164"/>
    </row>
    <row r="75" spans="3:5" ht="13.5" hidden="1" thickBot="1">
      <c r="C75" s="264">
        <f>IF(E12&gt;G51,E12*6%,(IF(E12&lt;=F50,0,IF(AND(E12&gt;F50,E12&lt;=G50),E12*2%-(F50-(E12-(E12*2%))),IF(AND(E12&gt;F51,E12&lt;=G51),E12*6%-(I51-(E12-(E12*6%))),E12*2%)))))</f>
        <v>0</v>
      </c>
      <c r="E75" s="134" t="s">
        <v>47</v>
      </c>
    </row>
    <row r="76" spans="3:7" ht="16.5" hidden="1" thickBot="1">
      <c r="C76" s="264">
        <f>IF(F12&gt;G51,F12*6%,(IF(F12&lt;=F50,0,IF(AND(F12&gt;F50,F12&lt;=G50),F12*2%-(F50-(F12-(F12*2%))),IF(AND(F12&gt;F51,F12&lt;=G51),F12*6%-(I51-(F12-(F12*6%))),F12*2%)))))</f>
        <v>0</v>
      </c>
      <c r="E76" s="270">
        <f>IF(G29&gt;G52,G29*2%,(IF(G29&lt;=F51,0,G29-F51)))+IF(E29&gt;G52,E29*2%,(IF(E29&lt;=F51,0,E29-F51)))+IF(D29&gt;G52,D29*2%,(IF(D29&lt;=F51,0,D29-F51)))</f>
        <v>0</v>
      </c>
      <c r="G76" s="164"/>
    </row>
    <row r="77" ht="13.5" hidden="1" thickBot="1">
      <c r="C77" s="264">
        <f>IF(G12&gt;G51,G12*6%,(IF(G12&lt;=F50,0,IF(AND(G12&gt;F50,G12&lt;=G50),G12*2%-(F50-(G12-(G12*2%))),IF(AND(G12&gt;F51,G12&lt;=G51),G12*6%-(I51-(G12-(G12*6%))),G12*2%)))))</f>
        <v>0</v>
      </c>
    </row>
    <row r="78" spans="2:3" ht="18.75" hidden="1" thickBot="1">
      <c r="B78" s="138" t="s">
        <v>45</v>
      </c>
      <c r="C78" s="265">
        <f>SUM(C72:C77)</f>
        <v>0</v>
      </c>
    </row>
    <row r="79" ht="13.5" hidden="1" thickBot="1"/>
    <row r="80" spans="2:4" ht="16.5" hidden="1" thickBot="1">
      <c r="B80" s="430" t="s">
        <v>48</v>
      </c>
      <c r="C80" s="431"/>
      <c r="D80" s="432"/>
    </row>
    <row r="81" ht="12.75" hidden="1">
      <c r="C81" s="266">
        <f>IF(G9&gt;G51,G9*6%,(IF(G9&lt;=F50,0,IF(AND(G9&gt;F50,G9&lt;=G50),G9*2%-(F50-(G9-(G9*2%))),IF(AND(G9&gt;F51,G9&lt;=G51),G9*6%-(I51-(G9-(G9*6%))),G9*2%)))))</f>
        <v>0</v>
      </c>
    </row>
    <row r="82" ht="12.75" hidden="1">
      <c r="C82" s="267">
        <f>IF(E9&gt;G51,E9*6%,(IF(E9&lt;=F50,0,IF(AND(E9&gt;F50,E9&lt;=G50),E9*2%-(F50-(E9-(E9*2%))),IF(AND(E9&gt;F51,E9&lt;=G51),E9*6%-(I51-(E9-(E9*6%))),E9*2%)))))</f>
        <v>0</v>
      </c>
    </row>
    <row r="83" ht="13.5" hidden="1" thickBot="1">
      <c r="C83" s="268">
        <f>IF(D9&gt;G51,D9*6%,(IF(D9&lt;=F50,0,IF(AND(D9&gt;F50,D9&lt;=G50),D9*2%-(F50-(D9-(D9*2%))),IF(AND(D9&gt;F51,D9&lt;=G51),D9*6%-(I51-(D9-(D9*6%))),D9*2%)))))</f>
        <v>0</v>
      </c>
    </row>
    <row r="84" spans="2:3" ht="18.75" hidden="1" thickBot="1">
      <c r="B84" s="143" t="s">
        <v>45</v>
      </c>
      <c r="C84" s="269">
        <f>SUM(C81:C83)</f>
        <v>0</v>
      </c>
    </row>
    <row r="85" ht="12.75" hidden="1"/>
    <row r="86" ht="12.75" hidden="1"/>
    <row r="87" ht="12.75" hidden="1"/>
    <row r="88" ht="13.5" hidden="1" thickBot="1"/>
    <row r="89" spans="3:5" ht="13.5" hidden="1" thickBot="1">
      <c r="C89" s="418" t="s">
        <v>49</v>
      </c>
      <c r="D89" s="419"/>
      <c r="E89" s="86">
        <f>Parámetros!E57</f>
        <v>59414</v>
      </c>
    </row>
    <row r="90" ht="13.5" hidden="1" thickBot="1"/>
    <row r="91" spans="4:5" ht="16.5" hidden="1" thickBot="1">
      <c r="D91" s="85" t="s">
        <v>50</v>
      </c>
      <c r="E91" s="156">
        <f>C49*15%</f>
        <v>0</v>
      </c>
    </row>
    <row r="92" spans="4:5" ht="16.5" hidden="1" thickBot="1">
      <c r="D92" s="85" t="s">
        <v>51</v>
      </c>
      <c r="E92" s="156">
        <f>IF(C49&lt;=E89,C49*15%,E89*15%)</f>
        <v>0</v>
      </c>
    </row>
    <row r="93" ht="13.5" hidden="1" thickBot="1">
      <c r="E93" s="1"/>
    </row>
    <row r="94" spans="4:5" ht="18.75" hidden="1" thickBot="1">
      <c r="D94" s="85" t="s">
        <v>53</v>
      </c>
      <c r="E94" s="157">
        <f>IF(G7=1,E92,E91)</f>
        <v>0</v>
      </c>
    </row>
    <row r="95" ht="13.5" hidden="1" thickBot="1"/>
    <row r="96" spans="2:7" ht="27.75" hidden="1" thickBot="1" thickTop="1">
      <c r="B96" s="420" t="s">
        <v>22</v>
      </c>
      <c r="C96" s="421"/>
      <c r="D96" s="421"/>
      <c r="E96" s="421"/>
      <c r="F96" s="421"/>
      <c r="G96" s="184">
        <f>C119</f>
        <v>0</v>
      </c>
    </row>
    <row r="97" ht="13.5" hidden="1" thickBot="1"/>
    <row r="98" spans="2:4" ht="21" hidden="1" thickBot="1">
      <c r="B98" s="397" t="s">
        <v>11</v>
      </c>
      <c r="C98" s="398"/>
      <c r="D98" s="399"/>
    </row>
    <row r="99" spans="2:5" ht="18.75" hidden="1" thickBot="1">
      <c r="B99" s="422" t="s">
        <v>64</v>
      </c>
      <c r="C99" s="423"/>
      <c r="D99" s="424"/>
      <c r="E99" s="215">
        <f>Parámetros!E4</f>
        <v>2106</v>
      </c>
    </row>
    <row r="100" ht="13.5" hidden="1" thickBot="1"/>
    <row r="101" spans="2:4" ht="21" hidden="1" thickBot="1">
      <c r="B101" s="403" t="s">
        <v>11</v>
      </c>
      <c r="C101" s="404"/>
      <c r="D101" s="405"/>
    </row>
    <row r="102" spans="2:5" ht="18.75" hidden="1" thickBot="1">
      <c r="B102" s="425" t="s">
        <v>114</v>
      </c>
      <c r="C102" s="426"/>
      <c r="D102" s="427"/>
      <c r="E102" s="126">
        <f>Parámetros!E9</f>
        <v>4212</v>
      </c>
    </row>
    <row r="103" ht="13.5" hidden="1" thickBot="1"/>
    <row r="104" spans="1:7" ht="16.5" hidden="1" thickBot="1">
      <c r="A104" s="382" t="s">
        <v>23</v>
      </c>
      <c r="B104" s="396"/>
      <c r="C104" s="383"/>
      <c r="E104" s="382" t="s">
        <v>25</v>
      </c>
      <c r="F104" s="396"/>
      <c r="G104" s="383"/>
    </row>
    <row r="105" spans="2:6" ht="18.75" hidden="1" thickBot="1">
      <c r="B105" s="46">
        <f>IF(G5=0,0,(E94+C50+C48+(C20/12)+(F20/12)+C21+F21+(G14*E99)+(G16*E102)))</f>
        <v>0</v>
      </c>
      <c r="E105" s="84">
        <f>IF(A25&gt;E128,A25*1%,A25*3%)</f>
        <v>0</v>
      </c>
      <c r="F105" s="49">
        <f>IF(A25&lt;=0,0,IF(AND(A29&lt;=0,B105&lt;=0),F108,IF(AND(A29&lt;=0,E105&gt;0),E102+E105,F108)))</f>
        <v>0</v>
      </c>
    </row>
    <row r="106" spans="2:6" ht="18.75" hidden="1" thickBot="1">
      <c r="B106" s="87"/>
      <c r="E106" s="88"/>
      <c r="F106" s="49"/>
    </row>
    <row r="107" ht="13.5" hidden="1" thickBot="1"/>
    <row r="108" spans="1:6" ht="16.5" hidden="1" thickBot="1">
      <c r="A108" s="83"/>
      <c r="C108" s="382" t="s">
        <v>26</v>
      </c>
      <c r="D108" s="383"/>
      <c r="E108" s="85">
        <f>IF(G5&lt;=0,(C20/12)+(F20/12)+C21+F21+G14*E99+G16*E102,0)</f>
        <v>0</v>
      </c>
      <c r="F108" s="86">
        <f>E108+E105+E102</f>
        <v>4212</v>
      </c>
    </row>
    <row r="109" spans="3:4" ht="21" hidden="1" thickBot="1">
      <c r="C109" s="384">
        <f>IF(A29&lt;=0,0,IF(AND(A25&lt;=0,B105&lt;=0),F108,IF(AND(A25&lt;=0,B105&gt;0),F108,0)))</f>
        <v>0</v>
      </c>
      <c r="D109" s="385"/>
    </row>
    <row r="110" spans="3:4" ht="21" hidden="1" thickBot="1">
      <c r="C110" s="36"/>
      <c r="D110" s="36"/>
    </row>
    <row r="111" spans="2:5" ht="24" hidden="1" thickBot="1">
      <c r="B111" s="388" t="s">
        <v>35</v>
      </c>
      <c r="C111" s="389"/>
      <c r="D111" s="390"/>
      <c r="E111" s="47">
        <f>B105</f>
        <v>0</v>
      </c>
    </row>
    <row r="112" ht="13.5" hidden="1" thickBot="1"/>
    <row r="113" spans="2:7" ht="13.5" hidden="1" thickBot="1">
      <c r="B113" s="41" t="s">
        <v>5</v>
      </c>
      <c r="C113" s="52" t="s">
        <v>18</v>
      </c>
      <c r="D113" s="41" t="s">
        <v>9</v>
      </c>
      <c r="E113" s="53" t="s">
        <v>88</v>
      </c>
      <c r="G113" s="54" t="s">
        <v>5</v>
      </c>
    </row>
    <row r="114" spans="1:7" ht="15" hidden="1">
      <c r="A114" s="37">
        <f>IF(E111&lt;=G114,E111,G114)</f>
        <v>0</v>
      </c>
      <c r="B114" s="100" t="s">
        <v>115</v>
      </c>
      <c r="C114" s="101">
        <f>IF(A114&lt;=0,0,A114)</f>
        <v>0</v>
      </c>
      <c r="D114" s="102">
        <v>0.1</v>
      </c>
      <c r="E114" s="103">
        <f>C114*D114</f>
        <v>0</v>
      </c>
      <c r="G114" s="122">
        <f>3*Parámetros!E32</f>
        <v>5832</v>
      </c>
    </row>
    <row r="115" spans="1:7" ht="15" hidden="1">
      <c r="A115" s="37">
        <f>IF(E111&gt;=G115,G115-G114,E111-G114)</f>
        <v>-5832</v>
      </c>
      <c r="B115" s="104" t="s">
        <v>116</v>
      </c>
      <c r="C115" s="105">
        <f>IF(A115&lt;=0,0,A115)</f>
        <v>0</v>
      </c>
      <c r="D115" s="106">
        <v>0.15</v>
      </c>
      <c r="E115" s="107">
        <f>C115*D115</f>
        <v>0</v>
      </c>
      <c r="G115" s="123">
        <f>8*Parámetros!E32</f>
        <v>15552</v>
      </c>
    </row>
    <row r="116" spans="1:7" ht="15" hidden="1">
      <c r="A116" s="37">
        <f>IF(E111&gt;=G116,G116-G115,E111-G115)</f>
        <v>-15552</v>
      </c>
      <c r="B116" s="108" t="s">
        <v>117</v>
      </c>
      <c r="C116" s="109">
        <f>IF(A116&lt;=0,0,A116)</f>
        <v>0</v>
      </c>
      <c r="D116" s="110">
        <v>0.2</v>
      </c>
      <c r="E116" s="111">
        <f>C116*D116</f>
        <v>0</v>
      </c>
      <c r="G116" s="124">
        <f>43*Parámetros!E32</f>
        <v>83592</v>
      </c>
    </row>
    <row r="117" spans="1:7" ht="15.75" hidden="1" thickBot="1">
      <c r="A117" s="37">
        <f>IF(E111&gt;=G117,G117-G116,E111-G116)</f>
        <v>-83592</v>
      </c>
      <c r="B117" s="112" t="s">
        <v>118</v>
      </c>
      <c r="C117" s="113">
        <f>IF(A117&lt;=0,0,A117)</f>
        <v>0</v>
      </c>
      <c r="D117" s="114">
        <v>0.22</v>
      </c>
      <c r="E117" s="115">
        <f>C117*D117</f>
        <v>0</v>
      </c>
      <c r="G117" s="125">
        <f>93*Parámetros!E32</f>
        <v>180792</v>
      </c>
    </row>
    <row r="118" spans="1:5" ht="15.75" hidden="1" thickBot="1">
      <c r="A118" s="37">
        <f>IF(E111&gt;G117,E111-G117,0)</f>
        <v>0</v>
      </c>
      <c r="B118" s="116" t="s">
        <v>119</v>
      </c>
      <c r="C118" s="117">
        <f>IF(A118&lt;=0,0,A118)</f>
        <v>0</v>
      </c>
      <c r="D118" s="182">
        <v>0.25</v>
      </c>
      <c r="E118" s="183">
        <f>C118*D118</f>
        <v>0</v>
      </c>
    </row>
    <row r="119" spans="2:5" ht="27" hidden="1" thickBot="1">
      <c r="B119" s="120"/>
      <c r="C119" s="411">
        <f>SUM(E114:E118)</f>
        <v>0</v>
      </c>
      <c r="D119" s="412"/>
      <c r="E119" s="413"/>
    </row>
    <row r="120" ht="12.75" hidden="1"/>
    <row r="121" ht="13.5" hidden="1" thickBot="1"/>
    <row r="122" spans="4:5" ht="24" hidden="1" thickBot="1">
      <c r="D122" s="34" t="s">
        <v>4</v>
      </c>
      <c r="E122" s="81">
        <f>Parámetros!E32</f>
        <v>1944</v>
      </c>
    </row>
    <row r="123" ht="12.75" hidden="1"/>
    <row r="124" ht="13.5" hidden="1" thickBot="1"/>
    <row r="125" spans="3:5" ht="21" hidden="1" thickBot="1">
      <c r="C125" s="391" t="s">
        <v>39</v>
      </c>
      <c r="D125" s="392"/>
      <c r="E125" s="50">
        <f>3*E122</f>
        <v>5832</v>
      </c>
    </row>
    <row r="126" spans="3:5" ht="16.5" hidden="1" thickBot="1">
      <c r="C126" s="414" t="s">
        <v>24</v>
      </c>
      <c r="D126" s="415"/>
      <c r="E126" s="45">
        <f>3*E122+1</f>
        <v>5833</v>
      </c>
    </row>
    <row r="127" ht="13.5" hidden="1" thickBot="1"/>
    <row r="128" spans="3:5" ht="21" hidden="1" thickBot="1">
      <c r="C128" s="416" t="s">
        <v>31</v>
      </c>
      <c r="D128" s="417"/>
      <c r="E128" s="82">
        <f>Parámetros!E45</f>
        <v>5519.29</v>
      </c>
    </row>
    <row r="129" ht="12.75" hidden="1"/>
    <row r="130" ht="13.5" hidden="1" thickBot="1"/>
    <row r="131" spans="3:5" ht="21.75" hidden="1" thickBot="1" thickTop="1">
      <c r="C131" s="409" t="s">
        <v>52</v>
      </c>
      <c r="D131" s="410"/>
      <c r="E131" s="181">
        <f>Parámetros!E57</f>
        <v>59414</v>
      </c>
    </row>
    <row r="132" ht="12.75" hidden="1"/>
    <row r="133" ht="12.75" hidden="1"/>
    <row r="134" ht="12.75" hidden="1"/>
    <row r="135" ht="13.5" thickTop="1"/>
  </sheetData>
  <sheetProtection password="E71E" sheet="1" objects="1" scenarios="1"/>
  <mergeCells count="45">
    <mergeCell ref="C3:E3"/>
    <mergeCell ref="B4:F4"/>
    <mergeCell ref="B6:F6"/>
    <mergeCell ref="B7:F7"/>
    <mergeCell ref="B8:F8"/>
    <mergeCell ref="B11:F11"/>
    <mergeCell ref="B13:F13"/>
    <mergeCell ref="B14:F14"/>
    <mergeCell ref="B16:F16"/>
    <mergeCell ref="B18:F18"/>
    <mergeCell ref="B19:F19"/>
    <mergeCell ref="C23:E23"/>
    <mergeCell ref="B24:G24"/>
    <mergeCell ref="C27:E27"/>
    <mergeCell ref="B28:G28"/>
    <mergeCell ref="B31:E31"/>
    <mergeCell ref="F31:G31"/>
    <mergeCell ref="C39:D39"/>
    <mergeCell ref="F39:G39"/>
    <mergeCell ref="B41:E41"/>
    <mergeCell ref="F41:G41"/>
    <mergeCell ref="C44:D44"/>
    <mergeCell ref="F44:G44"/>
    <mergeCell ref="B46:E46"/>
    <mergeCell ref="F46:G46"/>
    <mergeCell ref="E49:F49"/>
    <mergeCell ref="B58:E58"/>
    <mergeCell ref="C64:D64"/>
    <mergeCell ref="B80:D80"/>
    <mergeCell ref="C89:D89"/>
    <mergeCell ref="B96:F96"/>
    <mergeCell ref="B98:D98"/>
    <mergeCell ref="B99:D99"/>
    <mergeCell ref="B101:D101"/>
    <mergeCell ref="B102:D102"/>
    <mergeCell ref="A104:C104"/>
    <mergeCell ref="E104:G104"/>
    <mergeCell ref="C108:D108"/>
    <mergeCell ref="C109:D109"/>
    <mergeCell ref="B111:D111"/>
    <mergeCell ref="C119:E119"/>
    <mergeCell ref="C125:D125"/>
    <mergeCell ref="C126:D126"/>
    <mergeCell ref="C128:D128"/>
    <mergeCell ref="C131:D131"/>
  </mergeCells>
  <dataValidations count="26">
    <dataValidation type="whole" allowBlank="1" showInputMessage="1" showErrorMessage="1" errorTitle="Dato no válido" error="Solo podrás ingresar números enteros, sin decimales. Tampoco digites puntos o comas." sqref="G14:G19">
      <formula1>0</formula1>
      <formula2>1E+33</formula2>
    </dataValidation>
    <dataValidation type="whole" allowBlank="1" showInputMessage="1" showErrorMessage="1" sqref="G8">
      <formula1>0</formula1>
      <formula2>1E+33</formula2>
    </dataValidation>
    <dataValidation type="whole" allowBlank="1" showInputMessage="1" showErrorMessage="1" promptTitle="PASIVIDAD" prompt="DIGITA AQUÍ DONDE ESTAS PARADO, EL IMPORTE DE TU PASIVIDAD NOMINAL, SIN DECIMALES Y SIN AGREGAR PUNTOS O COMAS. " sqref="G26">
      <formula1>0</formula1>
      <formula2>1E+37</formula2>
    </dataValidation>
    <dataValidation type="whole" allowBlank="1" showInputMessage="1" showErrorMessage="1" promptTitle="SUELDO" prompt="DIGITÁ AQUÍ DONDE ESTAS POSICIONADO, TU SUELDO NOMINAL O BRUTO SIN RESTARLE NINGUNA PARTIDA, (VER HOJA GUIA TRABAJADOR.&#10;INGRESALO SIN DECIMALES Y SIN AGREGAR PUNTOS O COMAS." errorTitle="Dato no válido" error="Solo podrás ingresar números enteros, sin decimales. Tampoco digites puntos o comas." sqref="G5">
      <formula1>0</formula1>
      <formula2>1E+36</formula2>
    </dataValidation>
    <dataValidation allowBlank="1" showInputMessage="1" showErrorMessage="1" promptTitle="B.P.C." prompt="Ingresar el valor actual de la Base de Prestaciones y Contribuciones, decretada por el Poder Ejecutivo" sqref="F55"/>
    <dataValidation type="whole" allowBlank="1" showInputMessage="1" showErrorMessage="1" promptTitle="PENSION" prompt="DIGITAR EL IMPORTE DE TU PENSIÓN NOMINAL, SIN DECIMALES. TAMPOCO DIGITES PUNTOS O COMAS.&#10;EN CASO DE TENER MAS DE UNA PENSIÓN, INGRESAR UNA POR CELDA.&#10;VER HOJA DE GUIA PENSIÓN." errorTitle="Dato no válido." error="Solo podras ingresar números enteros, sin decimales, puntos o comas" sqref="G29">
      <formula1>0</formula1>
      <formula2>1E+37</formula2>
    </dataValidation>
    <dataValidation type="whole" allowBlank="1" showInputMessage="1" showErrorMessage="1" promptTitle="JUBILACIÓN" prompt="DIGITAR AQUÍ, EL IMPORTE DE TU JUBILACIÓN NOMINAL, SIN DECIMALES Y SIN AGREGAR PUNTOS O COMAS. &#10;EN CASO DE TENER MAS DE UNA JUBILACIÓN, INGRESAR UNA JUBILACIÓN POR CELDA.&#10;VER HOJA DE GUIA JUBILACIÓN." errorTitle="Dato no válido" error="Solo podras ingresar números enteros, sin decimales, puntos o comas." sqref="G25">
      <formula1>0</formula1>
      <formula2>1E+37</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errorTitle="Dato no válido" error="Debes ingresar un número entero, sin decimilas, ni comas ni puntos." sqref="G10">
      <formula1>0</formula1>
      <formula2>1E+33</formula2>
    </dataValidation>
    <dataValidation type="whole" allowBlank="1" showInputMessage="1" showErrorMessage="1" promptTitle="BRUTO SIN PARTIDAS NO GRAVADAS" prompt="Ingresá tu SUELDO NOMINAL restandole al mismo las partidas no gravadas por el B.P.S. Por ejemplo: TICKETS ALIMENTACIÒN, TICKETS TRANSPORTE,  SEGUNDO AGUINALDO y otros, (ver hoja GUIA TRABAJADOR, punto 3). &#10;Ingresá el monto sin decimales, puntos o comas." errorTitle="Dato no válido" error="Debes ingresar un número entero, sin decimilas, ni comas ni puntos." sqref="G12">
      <formula1>0</formula1>
      <formula2>1E+33</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VER HOJA GUIA TRABAJADOR, punto 3). Ingresalo sin decimales, puntos o comas." errorTitle="Dato no válido" error="Debes ingresar un número entero, sin decimilas, ni comas ni puntos." sqref="G9">
      <formula1>0</formula1>
      <formula2>1E+33</formula2>
    </dataValidation>
    <dataValidation type="whole" allowBlank="1" showInputMessage="1" showErrorMessage="1" promptTitle="APORTES a CAJA de PROFESIONALES " prompt="Ingresar el aporte mensual a la CAJA DE JUBILACIONES y PENSIONES DE PROFESIONALES UNIVERSITARIOS." errorTitle="Dato no válido" error="Debe ingresar un número entero." sqref="C21">
      <formula1>1</formula1>
      <formula2>1000000000000000000</formula2>
    </dataValidation>
    <dataValidation type="whole" allowBlank="1" showInputMessage="1" showErrorMessage="1" promptTitle="REINTEGROS CAJA PROFESIONAL" prompt="Ingresar el importe mensual de los REINTEGROS de CAJA DE JUBILACIONES Y PENSIONES DE PROFESIONALES UNIVERSITARIOS." errorTitle="Dato no válido" error="Ingresar un número entero, sin puntos ni comas." sqref="F21">
      <formula1>1</formula1>
      <formula2>10000000000000000000</formula2>
    </dataValidation>
    <dataValidation type="whole" allowBlank="1" showInputMessage="1" showErrorMessage="1" promptTitle="FONDO DE SOLIDARIDAD" prompt="Ingresar la cifra anual que se paga por concepto de Fondo de Solidaridad. En caso de los Técnicos de Administración es la mitad de una B.P.C." errorTitle="Dato no válido" error="Debe ingresar un número entero." sqref="C20">
      <formula1>1</formula1>
      <formula2>1000000000000000000</formula2>
    </dataValidation>
    <dataValidation type="whole" allowBlank="1" showInputMessage="1" showErrorMessage="1" promptTitle="ADICIONAL F.de SOLIDARIDAD" prompt="Ingresar el importe anual por concepto de adicional del FONDO de SOLIDARIDAD" errorTitle="Dato no válido" error="Ingresar un número entero" sqref="F20">
      <formula1>1</formula1>
      <formula2>10000000000000000000</formula2>
    </dataValidation>
    <dataValidation type="whole" allowBlank="1" showInputMessage="1" showErrorMessage="1" promptTitle="MULTIEMPLEO PUBLICO" prompt="Registrar un sueldo por empresa y por celda." errorTitle="Dato no válidoc" error="Debes ingresar un número entero, sin puntos ni comas." sqref="D9:E9">
      <formula1>0</formula1>
      <formula2>1000000000000000000</formula2>
    </dataValidation>
    <dataValidation type="whole" allowBlank="1" showInputMessage="1" showErrorMessage="1" promptTitle="MULTIEMPLEO PRIVADO" prompt="Registrar un sueldo por empresa y por celda." errorTitle="Dato no válido" error="Tienes que ingresar un número entero, sin puntos ni comas." sqref="B12:F12">
      <formula1>0</formula1>
      <formula2>1E+22</formula2>
    </dataValidation>
    <dataValidation type="whole" allowBlank="1" showInputMessage="1" showErrorMessage="1" promptTitle="MULTI-JUBILACIÓN" prompt="Registrar una jubilación por celda." errorTitle="Dato no válido" error="Ingresar un número entero, sin comas ni puntos." sqref="D25:E25">
      <formula1>0</formula1>
      <formula2>1000000000000000000</formula2>
    </dataValidation>
    <dataValidation type="whole" allowBlank="1" showInputMessage="1" showErrorMessage="1" promptTitle="MULTI-PENSIÓN" prompt="Ingresar una pensión por celda" errorTitle="Dato no válido" error="Ingresar un número entero, sin puntos ni comas." sqref="D29:E29">
      <formula1>0</formula1>
      <formula2>10000000000000000</formula2>
    </dataValidation>
    <dataValidation type="whole" allowBlank="1" showInputMessage="1" showErrorMessage="1" promptTitle="REGIMEN NUEVO O DE TRANSICIÓN" prompt="Se debe marcar 1 en caso de NUEVO REGIMEN.&#10;Se debe marcar 2 en caso de REGIMEN de TRANSICIÓN." errorTitle="Dato no válido" error="Solo se puede ingresar el valor 1 o el valor 2" sqref="G7">
      <formula1>1</formula1>
      <formula2>2</formula2>
    </dataValidation>
    <dataValidation type="whole" allowBlank="1" showInputMessage="1" showErrorMessage="1" sqref="F46:G46">
      <formula1>0</formula1>
      <formula2>10000000000000000</formula2>
    </dataValidation>
    <dataValidation type="whole" allowBlank="1" showInputMessage="1" showErrorMessage="1" sqref="G27">
      <formula1>0</formula1>
      <formula2>1E+37</formula2>
    </dataValidation>
    <dataValidation type="whole" allowBlank="1" showInputMessage="1" showErrorMessage="1" promptTitle="SUELDO NOMINAL" prompt="DEBE INGRESAR EL SUELDO NOMINAL SIN RESTAR NINGUNA PARTIDA. (VER GUIA TRABAJADOR)" errorTitle="Dato no válido" error="Debe ingresar un número entero, sin comas ni puntos." sqref="G4">
      <formula1>0</formula1>
      <formula2>1E+23</formula2>
    </dataValidation>
    <dataValidation type="whole" allowBlank="1" showInputMessage="1" showErrorMessage="1" promptTitle="HIJOS MENORES DE 18 AÑOS" prompt="DIGITÁ AQUÍ DONDE ESTAS POSICIONADO, 1 SI TENES HIJOS MENORES DE 18 AÑOS O DISCAPACITADOS DE CUALQUIER EDAD A TU CARGO. DE LO CONTRARIO DIGITAR 0." errorTitle="Dato no válido" error="Solo podrás ingresar 1 o 0." sqref="G6">
      <formula1>0</formula1>
      <formula2>1</formula2>
    </dataValidation>
    <dataValidation type="whole" allowBlank="1" showInputMessage="1" showErrorMessage="1" promptTitle="B.P.C." prompt="Ingresar el valor de la BASE de PRESTACIONES y CONTRIBUCIONES. Ingresar el valor vigente, decretado por el Poder Ejecutivo. Varía en cada ocación de aumento de salarios a los funcionarios públicos." errorTitle="Dato no válido" error="Ingresar una cifra entera, sin decimales ni puntos ni comas." sqref="E122">
      <formula1>0</formula1>
      <formula2>1000000000000</formula2>
    </dataValidation>
    <dataValidation type="decimal" allowBlank="1" showInputMessage="1" showErrorMessage="1" promptTitle="TOPE CUOTA MUTUAL" prompt="Ingresar en esta celda el valor establecido por el Poder Ejecutivo, que hace de tope para poseer el derecho a la cuota mutual, para aquellas personas que se jubilaron como empleados en su última actividad laboral." errorTitle="Dato no válido" error="Debe ingresar un número con hasta dos decimales." sqref="E128">
      <formula1>0</formula1>
      <formula2>10000000000000</formula2>
    </dataValidation>
    <dataValidation allowBlank="1" showInputMessage="1" showErrorMessage="1" promptTitle="TOPE TERCER NIVEL, LEY 16713" prompt="Establecer el valor que fija el Poder Ejecutivo, como tope del aporte personal jubilatorio, para aquellas personas que están dentro del nuevo régimen, (solidaridad intergeneracional y AFAP)" sqref="E131"/>
  </dataValidations>
  <printOptions/>
  <pageMargins left="0.75" right="0.75" top="1" bottom="1" header="0" footer="0"/>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3:G131"/>
  <sheetViews>
    <sheetView workbookViewId="0" topLeftCell="B3">
      <selection activeCell="J18" sqref="J18"/>
    </sheetView>
  </sheetViews>
  <sheetFormatPr defaultColWidth="11.421875" defaultRowHeight="12.75"/>
  <cols>
    <col min="1" max="1" width="17.140625" style="0" hidden="1" customWidth="1"/>
    <col min="2" max="2" width="18.140625" style="0" customWidth="1"/>
    <col min="3" max="3" width="15.57421875" style="0" customWidth="1"/>
    <col min="4" max="4" width="17.421875" style="0" customWidth="1"/>
    <col min="5" max="5" width="19.57421875" style="0" customWidth="1"/>
    <col min="6" max="6" width="13.00390625" style="0" customWidth="1"/>
    <col min="7" max="7" width="18.8515625" style="0" customWidth="1"/>
  </cols>
  <sheetData>
    <row r="1" ht="12.75" hidden="1"/>
    <row r="2" ht="13.5" hidden="1" thickBot="1"/>
    <row r="3" spans="3:5" ht="27" thickBot="1" thickTop="1">
      <c r="C3" s="478" t="s">
        <v>27</v>
      </c>
      <c r="D3" s="479"/>
      <c r="E3" s="480"/>
    </row>
    <row r="4" spans="2:7" ht="21.75" thickBot="1" thickTop="1">
      <c r="B4" s="481" t="s">
        <v>33</v>
      </c>
      <c r="C4" s="482"/>
      <c r="D4" s="482"/>
      <c r="E4" s="482"/>
      <c r="F4" s="483"/>
      <c r="G4" s="273"/>
    </row>
    <row r="5" spans="2:7" ht="24" hidden="1" thickBot="1" thickTop="1">
      <c r="B5" s="11"/>
      <c r="C5" s="11"/>
      <c r="D5" s="11"/>
      <c r="E5" s="23"/>
      <c r="F5" s="11"/>
      <c r="G5" s="274"/>
    </row>
    <row r="6" spans="2:7" ht="30" customHeight="1" thickBot="1" thickTop="1">
      <c r="B6" s="484" t="s">
        <v>102</v>
      </c>
      <c r="C6" s="485"/>
      <c r="D6" s="485"/>
      <c r="E6" s="485"/>
      <c r="F6" s="486"/>
      <c r="G6" s="275"/>
    </row>
    <row r="7" spans="2:7" ht="30" customHeight="1" thickBot="1">
      <c r="B7" s="487" t="s">
        <v>103</v>
      </c>
      <c r="C7" s="488"/>
      <c r="D7" s="488"/>
      <c r="E7" s="488"/>
      <c r="F7" s="489"/>
      <c r="G7" s="276"/>
    </row>
    <row r="8" spans="2:7" ht="30" customHeight="1" thickBot="1" thickTop="1">
      <c r="B8" s="466" t="s">
        <v>57</v>
      </c>
      <c r="C8" s="467"/>
      <c r="D8" s="467"/>
      <c r="E8" s="467"/>
      <c r="F8" s="468"/>
      <c r="G8" s="162"/>
    </row>
    <row r="9" spans="1:7" ht="21.75" thickBot="1" thickTop="1">
      <c r="A9" s="293">
        <f>D9+E9+G9</f>
        <v>0</v>
      </c>
      <c r="B9" s="48"/>
      <c r="C9" s="48"/>
      <c r="D9" s="151"/>
      <c r="E9" s="152"/>
      <c r="F9" s="48"/>
      <c r="G9" s="153"/>
    </row>
    <row r="10" spans="2:7" ht="21.75" hidden="1" thickBot="1">
      <c r="B10" s="144"/>
      <c r="C10" s="48"/>
      <c r="D10" s="48"/>
      <c r="E10" s="48"/>
      <c r="F10" s="48"/>
      <c r="G10" s="12"/>
    </row>
    <row r="11" spans="2:7" ht="30" customHeight="1" thickBot="1" thickTop="1">
      <c r="B11" s="469" t="s">
        <v>63</v>
      </c>
      <c r="C11" s="470"/>
      <c r="D11" s="470"/>
      <c r="E11" s="470"/>
      <c r="F11" s="471"/>
      <c r="G11" s="162"/>
    </row>
    <row r="12" spans="1:7" ht="21.75" thickBot="1" thickTop="1">
      <c r="A12" s="293">
        <f>B12+C12+D12+E12+F12+G12</f>
        <v>0</v>
      </c>
      <c r="B12" s="141"/>
      <c r="C12" s="140"/>
      <c r="D12" s="141"/>
      <c r="E12" s="140"/>
      <c r="F12" s="142"/>
      <c r="G12" s="131"/>
    </row>
    <row r="13" spans="2:7" ht="26.25" thickBot="1">
      <c r="B13" s="472" t="s">
        <v>27</v>
      </c>
      <c r="C13" s="473"/>
      <c r="D13" s="473"/>
      <c r="E13" s="473"/>
      <c r="F13" s="474"/>
      <c r="G13" s="162"/>
    </row>
    <row r="14" spans="2:7" ht="21.75" thickBot="1" thickTop="1">
      <c r="B14" s="475" t="s">
        <v>60</v>
      </c>
      <c r="C14" s="476"/>
      <c r="D14" s="476"/>
      <c r="E14" s="476"/>
      <c r="F14" s="477"/>
      <c r="G14" s="127"/>
    </row>
    <row r="15" spans="2:7" ht="21.75" hidden="1" thickBot="1" thickTop="1">
      <c r="B15" s="145"/>
      <c r="C15" s="277"/>
      <c r="D15" s="277"/>
      <c r="E15" s="277"/>
      <c r="F15" s="277"/>
      <c r="G15" s="128"/>
    </row>
    <row r="16" spans="2:7" ht="30" customHeight="1" thickBot="1" thickTop="1">
      <c r="B16" s="460" t="s">
        <v>61</v>
      </c>
      <c r="C16" s="461"/>
      <c r="D16" s="461"/>
      <c r="E16" s="461"/>
      <c r="F16" s="462"/>
      <c r="G16" s="173"/>
    </row>
    <row r="17" spans="2:7" ht="21.75" hidden="1" thickBot="1" thickTop="1">
      <c r="B17" s="150"/>
      <c r="C17" s="150"/>
      <c r="D17" s="150"/>
      <c r="E17" s="150"/>
      <c r="F17" s="150"/>
      <c r="G17" s="129"/>
    </row>
    <row r="18" spans="2:7" ht="27" thickBot="1" thickTop="1">
      <c r="B18" s="453" t="s">
        <v>27</v>
      </c>
      <c r="C18" s="454"/>
      <c r="D18" s="454"/>
      <c r="E18" s="454"/>
      <c r="F18" s="455"/>
      <c r="G18" s="162"/>
    </row>
    <row r="19" spans="2:7" ht="18" thickBot="1" thickTop="1">
      <c r="B19" s="463" t="s">
        <v>43</v>
      </c>
      <c r="C19" s="464"/>
      <c r="D19" s="464"/>
      <c r="E19" s="464"/>
      <c r="F19" s="465"/>
      <c r="G19" s="163"/>
    </row>
    <row r="20" spans="2:7" ht="28.5" thickBot="1" thickTop="1">
      <c r="B20" s="174" t="s">
        <v>32</v>
      </c>
      <c r="C20" s="175"/>
      <c r="D20" s="26"/>
      <c r="E20" s="177" t="s">
        <v>34</v>
      </c>
      <c r="F20" s="175"/>
      <c r="G20" s="162"/>
    </row>
    <row r="21" spans="2:7" ht="24" thickBot="1" thickTop="1">
      <c r="B21" s="176" t="s">
        <v>55</v>
      </c>
      <c r="C21" s="175"/>
      <c r="D21" s="26"/>
      <c r="E21" s="178" t="s">
        <v>56</v>
      </c>
      <c r="F21" s="175"/>
      <c r="G21" s="162"/>
    </row>
    <row r="22" spans="2:7" ht="21.75" hidden="1" thickBot="1">
      <c r="B22" s="26"/>
      <c r="C22" s="26"/>
      <c r="D22" s="26"/>
      <c r="E22" s="25"/>
      <c r="F22" s="25"/>
      <c r="G22" s="162"/>
    </row>
    <row r="23" spans="2:7" ht="27" hidden="1" thickBot="1" thickTop="1">
      <c r="B23" s="26"/>
      <c r="C23" s="453" t="s">
        <v>28</v>
      </c>
      <c r="D23" s="454"/>
      <c r="E23" s="455"/>
      <c r="F23" s="25"/>
      <c r="G23" s="162"/>
    </row>
    <row r="24" spans="2:7" ht="18" hidden="1" thickBot="1" thickTop="1">
      <c r="B24" s="450" t="s">
        <v>58</v>
      </c>
      <c r="C24" s="451"/>
      <c r="D24" s="451"/>
      <c r="E24" s="451"/>
      <c r="F24" s="451"/>
      <c r="G24" s="452"/>
    </row>
    <row r="25" spans="1:7" ht="22.5" hidden="1" thickBot="1" thickTop="1">
      <c r="A25" s="294">
        <f>D25+E25+G25</f>
        <v>0</v>
      </c>
      <c r="B25" s="19"/>
      <c r="C25" s="19"/>
      <c r="D25" s="146"/>
      <c r="E25" s="147"/>
      <c r="F25" s="19"/>
      <c r="G25" s="147"/>
    </row>
    <row r="26" spans="2:7" ht="25.5" hidden="1" thickBot="1">
      <c r="B26" s="19"/>
      <c r="C26" s="19"/>
      <c r="D26" s="19"/>
      <c r="E26" s="19"/>
      <c r="F26" s="19"/>
      <c r="G26" s="278"/>
    </row>
    <row r="27" spans="2:7" ht="27" hidden="1" thickBot="1" thickTop="1">
      <c r="B27" s="19"/>
      <c r="C27" s="453" t="s">
        <v>29</v>
      </c>
      <c r="D27" s="454"/>
      <c r="E27" s="455"/>
      <c r="F27" s="19"/>
      <c r="G27" s="161"/>
    </row>
    <row r="28" spans="2:7" ht="18" hidden="1" thickBot="1" thickTop="1">
      <c r="B28" s="450" t="s">
        <v>59</v>
      </c>
      <c r="C28" s="451"/>
      <c r="D28" s="451"/>
      <c r="E28" s="451"/>
      <c r="F28" s="451"/>
      <c r="G28" s="452"/>
    </row>
    <row r="29" spans="1:7" ht="22.5" hidden="1" thickBot="1" thickTop="1">
      <c r="A29" s="294">
        <f>D29+E29+G29</f>
        <v>0</v>
      </c>
      <c r="B29" s="19"/>
      <c r="C29" s="19"/>
      <c r="D29" s="148"/>
      <c r="E29" s="148"/>
      <c r="F29" s="139"/>
      <c r="G29" s="148"/>
    </row>
    <row r="30" spans="2:7" ht="17.25" hidden="1" thickBot="1">
      <c r="B30" s="25"/>
      <c r="C30" s="25"/>
      <c r="D30" s="25"/>
      <c r="E30" s="25"/>
      <c r="F30" s="24"/>
      <c r="G30" s="24"/>
    </row>
    <row r="31" spans="2:7" ht="24.75" thickBot="1" thickTop="1">
      <c r="B31" s="456" t="s">
        <v>104</v>
      </c>
      <c r="C31" s="457"/>
      <c r="D31" s="457"/>
      <c r="E31" s="458"/>
      <c r="F31" s="459"/>
      <c r="G31" s="459"/>
    </row>
    <row r="32" spans="2:7" ht="17.25" thickBot="1" thickTop="1">
      <c r="B32" s="154" t="s">
        <v>5</v>
      </c>
      <c r="C32" s="154" t="s">
        <v>8</v>
      </c>
      <c r="D32" s="155" t="s">
        <v>9</v>
      </c>
      <c r="E32" s="154" t="s">
        <v>88</v>
      </c>
      <c r="F32" s="51"/>
      <c r="G32" s="130" t="s">
        <v>5</v>
      </c>
    </row>
    <row r="33" spans="1:7" ht="16.5" thickBot="1">
      <c r="A33">
        <f>G33</f>
        <v>13608</v>
      </c>
      <c r="B33" s="60" t="s">
        <v>105</v>
      </c>
      <c r="C33" s="61">
        <f>G33</f>
        <v>13608</v>
      </c>
      <c r="D33" s="62">
        <v>0</v>
      </c>
      <c r="E33" s="63">
        <f aca="true" t="shared" si="0" ref="E33:E38">C33*D33</f>
        <v>0</v>
      </c>
      <c r="G33" s="55">
        <f>7*Parámetros!E32</f>
        <v>13608</v>
      </c>
    </row>
    <row r="34" spans="1:7" ht="16.5" thickBot="1">
      <c r="A34">
        <f>IF(C52&gt;=G34,G34-G33,C52-G33)</f>
        <v>-13608</v>
      </c>
      <c r="B34" s="64" t="s">
        <v>106</v>
      </c>
      <c r="C34" s="65">
        <f>IF(A34&lt;=0,0,A34)</f>
        <v>0</v>
      </c>
      <c r="D34" s="66">
        <v>0.1</v>
      </c>
      <c r="E34" s="67">
        <f t="shared" si="0"/>
        <v>0</v>
      </c>
      <c r="G34" s="56">
        <f>10*Parámetros!E32</f>
        <v>19440</v>
      </c>
    </row>
    <row r="35" spans="1:7" ht="16.5" thickBot="1">
      <c r="A35">
        <f>IF(C52&gt;=G35,G35-G34,C52-G34)</f>
        <v>-19440</v>
      </c>
      <c r="B35" s="68" t="s">
        <v>3</v>
      </c>
      <c r="C35" s="69">
        <f>IF(A35&lt;=0,0,A35)</f>
        <v>0</v>
      </c>
      <c r="D35" s="70">
        <v>0.15</v>
      </c>
      <c r="E35" s="71">
        <f t="shared" si="0"/>
        <v>0</v>
      </c>
      <c r="G35" s="57">
        <f>15*Parámetros!E32</f>
        <v>29160</v>
      </c>
    </row>
    <row r="36" spans="1:7" ht="16.5" thickBot="1">
      <c r="A36">
        <f>IF(C52&gt;=G36,G36-G35,C52-G35)</f>
        <v>-29160</v>
      </c>
      <c r="B36" s="72" t="s">
        <v>13</v>
      </c>
      <c r="C36" s="73">
        <f>IF(A36&lt;=0,0,A36)</f>
        <v>0</v>
      </c>
      <c r="D36" s="74">
        <v>0.2</v>
      </c>
      <c r="E36" s="75">
        <f t="shared" si="0"/>
        <v>0</v>
      </c>
      <c r="G36" s="58">
        <f>50*Parámetros!E32</f>
        <v>97200</v>
      </c>
    </row>
    <row r="37" spans="1:7" ht="16.5" thickBot="1">
      <c r="A37">
        <f>IF(C52&gt;=G37,G37-G36,C52-G36)</f>
        <v>-97200</v>
      </c>
      <c r="B37" s="76" t="s">
        <v>14</v>
      </c>
      <c r="C37" s="77">
        <f>IF(A37&lt;=0,0,A37)</f>
        <v>0</v>
      </c>
      <c r="D37" s="78">
        <v>0.22</v>
      </c>
      <c r="E37" s="79">
        <f t="shared" si="0"/>
        <v>0</v>
      </c>
      <c r="G37" s="59">
        <f>100*Parámetros!E32</f>
        <v>194400</v>
      </c>
    </row>
    <row r="38" spans="1:5" ht="16.5" thickBot="1">
      <c r="A38">
        <f>IF(C52&gt;G37,C52-G37,0)</f>
        <v>0</v>
      </c>
      <c r="B38" s="80" t="s">
        <v>15</v>
      </c>
      <c r="C38" s="279">
        <f>IF(A38&lt;=0,0,A38)</f>
        <v>0</v>
      </c>
      <c r="D38" s="280">
        <v>0.25</v>
      </c>
      <c r="E38" s="149">
        <f t="shared" si="0"/>
        <v>0</v>
      </c>
    </row>
    <row r="39" spans="3:7" ht="21.75" thickBot="1" thickTop="1">
      <c r="C39" s="442" t="s">
        <v>40</v>
      </c>
      <c r="D39" s="443"/>
      <c r="E39" s="281">
        <f>SUM(E34:E38)</f>
        <v>0</v>
      </c>
      <c r="F39" s="444"/>
      <c r="G39" s="444"/>
    </row>
    <row r="40" spans="3:7" ht="23.25" hidden="1" thickBot="1" thickTop="1">
      <c r="C40" s="283"/>
      <c r="D40" s="283"/>
      <c r="E40" s="284"/>
      <c r="F40" s="282"/>
      <c r="G40" s="282"/>
    </row>
    <row r="41" spans="2:7" ht="34.5" thickBot="1" thickTop="1">
      <c r="B41" s="445" t="s">
        <v>107</v>
      </c>
      <c r="C41" s="446"/>
      <c r="D41" s="446"/>
      <c r="E41" s="447"/>
      <c r="F41" s="448">
        <f>C51</f>
        <v>0</v>
      </c>
      <c r="G41" s="449"/>
    </row>
    <row r="42" spans="2:7" ht="21.75" hidden="1">
      <c r="B42" s="285"/>
      <c r="C42" s="286" t="s">
        <v>108</v>
      </c>
      <c r="D42" s="286"/>
      <c r="E42" s="287"/>
      <c r="F42" s="288"/>
      <c r="G42" s="288"/>
    </row>
    <row r="43" spans="3:7" ht="22.5" hidden="1" thickBot="1">
      <c r="C43" s="283"/>
      <c r="D43" s="283"/>
      <c r="E43" s="284"/>
      <c r="F43" s="282"/>
      <c r="G43" s="282"/>
    </row>
    <row r="44" spans="2:7" ht="39" thickBot="1" thickTop="1">
      <c r="B44" s="289" t="s">
        <v>104</v>
      </c>
      <c r="C44" s="433">
        <f>IF(E39-C119&lt;0,0,E39-C119)</f>
        <v>0</v>
      </c>
      <c r="D44" s="434"/>
      <c r="E44" s="290" t="s">
        <v>109</v>
      </c>
      <c r="F44" s="435">
        <f>C50</f>
        <v>0</v>
      </c>
      <c r="G44" s="436"/>
    </row>
    <row r="45" spans="6:7" ht="19.5" hidden="1" thickBot="1" thickTop="1">
      <c r="F45" s="27"/>
      <c r="G45" s="22"/>
    </row>
    <row r="46" spans="2:7" ht="42.75" hidden="1" thickBot="1" thickTop="1">
      <c r="B46" s="437" t="s">
        <v>30</v>
      </c>
      <c r="C46" s="438"/>
      <c r="D46" s="438"/>
      <c r="E46" s="439"/>
      <c r="F46" s="440" t="e">
        <f>E44-C55</f>
        <v>#VALUE!</v>
      </c>
      <c r="G46" s="441"/>
    </row>
    <row r="47" spans="3:7" ht="14.25" hidden="1" thickBot="1" thickTop="1">
      <c r="C47" s="1"/>
      <c r="G47" s="3"/>
    </row>
    <row r="48" spans="2:3" ht="16.5" hidden="1" thickBot="1">
      <c r="B48" s="41" t="s">
        <v>37</v>
      </c>
      <c r="C48" s="42">
        <f>IF(A12&gt;0,A12*0.125%,0)</f>
        <v>0</v>
      </c>
    </row>
    <row r="49" spans="2:6" ht="16.5" hidden="1" thickBot="1">
      <c r="B49" s="38" t="s">
        <v>120</v>
      </c>
      <c r="C49" s="40">
        <f>IF(A9&lt;=0,A12,A12+A9)</f>
        <v>0</v>
      </c>
      <c r="E49" s="428" t="s">
        <v>7</v>
      </c>
      <c r="F49" s="429"/>
    </row>
    <row r="50" spans="2:7" ht="16.5" hidden="1" thickBot="1">
      <c r="B50" s="39" t="s">
        <v>109</v>
      </c>
      <c r="C50" s="43">
        <f>IF(C49&lt;=G55,C49*3%,IF(G6&gt;0,C49*6%,C49*4.5%))</f>
        <v>0</v>
      </c>
      <c r="D50" s="172" t="s">
        <v>62</v>
      </c>
      <c r="E50" s="6">
        <v>0</v>
      </c>
      <c r="F50" s="20">
        <f>3*F55</f>
        <v>5832</v>
      </c>
      <c r="G50" s="168">
        <f>(F50+2)*1.02</f>
        <v>5950.68</v>
      </c>
    </row>
    <row r="51" spans="2:7" ht="16.5" hidden="1" thickBot="1">
      <c r="B51" s="96" t="s">
        <v>0</v>
      </c>
      <c r="C51" s="97">
        <f>E94</f>
        <v>0</v>
      </c>
      <c r="D51" s="42">
        <f>C51+C50+C48</f>
        <v>0</v>
      </c>
      <c r="E51" s="7">
        <v>0.02</v>
      </c>
      <c r="F51" s="21">
        <f>6*F55</f>
        <v>11664</v>
      </c>
      <c r="G51" s="168">
        <f>(F51+35)*1.06</f>
        <v>12400.94</v>
      </c>
    </row>
    <row r="52" spans="2:7" ht="16.5" hidden="1" thickBot="1">
      <c r="B52" s="90" t="s">
        <v>121</v>
      </c>
      <c r="C52" s="91">
        <f>G4</f>
        <v>0</v>
      </c>
      <c r="E52" s="8">
        <v>0.06</v>
      </c>
      <c r="F52" s="171">
        <f>(F55*6)+1</f>
        <v>11665</v>
      </c>
      <c r="G52" s="168">
        <f>(F51+4)*1.02</f>
        <v>11901.36</v>
      </c>
    </row>
    <row r="53" spans="2:7" ht="16.5" hidden="1" thickBot="1">
      <c r="B53" s="92" t="s">
        <v>41</v>
      </c>
      <c r="C53" s="93">
        <f>A25</f>
        <v>0</v>
      </c>
      <c r="E53" s="169"/>
      <c r="F53" s="170"/>
      <c r="G53" s="1"/>
    </row>
    <row r="54" spans="2:7" ht="16.5" hidden="1" thickBot="1">
      <c r="B54" s="94" t="s">
        <v>42</v>
      </c>
      <c r="C54" s="95">
        <f>A29</f>
        <v>0</v>
      </c>
      <c r="D54" s="291">
        <f>C53+C54</f>
        <v>0</v>
      </c>
      <c r="F54" s="2"/>
      <c r="G54" s="291" t="s">
        <v>110</v>
      </c>
    </row>
    <row r="55" spans="2:7" ht="21" hidden="1" thickBot="1">
      <c r="B55" s="98" t="s">
        <v>36</v>
      </c>
      <c r="C55" s="99" t="e">
        <f>#REF!+F44</f>
        <v>#REF!</v>
      </c>
      <c r="E55" s="35" t="s">
        <v>4</v>
      </c>
      <c r="F55" s="89">
        <f>Parámetros!E32</f>
        <v>1944</v>
      </c>
      <c r="G55" s="292">
        <f>2.5*F55</f>
        <v>4860</v>
      </c>
    </row>
    <row r="56" spans="2:3" ht="18.75" hidden="1" thickBot="1">
      <c r="B56" s="158" t="s">
        <v>54</v>
      </c>
      <c r="C56" s="159">
        <f>C48+C50+C51</f>
        <v>0</v>
      </c>
    </row>
    <row r="57" ht="13.5" hidden="1" thickBot="1"/>
    <row r="58" spans="2:5" ht="18.75" hidden="1" thickBot="1">
      <c r="B58" s="374" t="s">
        <v>12</v>
      </c>
      <c r="C58" s="375"/>
      <c r="D58" s="375"/>
      <c r="E58" s="376"/>
    </row>
    <row r="59" spans="2:7" ht="15.75" hidden="1" thickBot="1">
      <c r="B59" s="10" t="s">
        <v>5</v>
      </c>
      <c r="C59" s="9" t="s">
        <v>8</v>
      </c>
      <c r="D59" s="10" t="s">
        <v>9</v>
      </c>
      <c r="E59" s="10" t="s">
        <v>88</v>
      </c>
      <c r="G59" s="165"/>
    </row>
    <row r="60" spans="1:7" ht="12.75" hidden="1">
      <c r="A60">
        <f>G60</f>
        <v>15552</v>
      </c>
      <c r="B60" s="28" t="s">
        <v>111</v>
      </c>
      <c r="C60" s="13">
        <f>'[1]DEDUCCIONES'!D29*5</f>
        <v>0</v>
      </c>
      <c r="D60" s="4">
        <v>0</v>
      </c>
      <c r="E60" s="16">
        <f>C60*D60</f>
        <v>0</v>
      </c>
      <c r="G60" s="298">
        <f>8*Parámetros!E32</f>
        <v>15552</v>
      </c>
    </row>
    <row r="61" spans="1:7" ht="12.75" hidden="1">
      <c r="A61">
        <f>IF(D54&gt;=G61,G60,D54-G60)</f>
        <v>-15552</v>
      </c>
      <c r="B61" s="29" t="s">
        <v>112</v>
      </c>
      <c r="C61" s="14">
        <f>IF(A36&lt;=0,0,A36)</f>
        <v>0</v>
      </c>
      <c r="D61" s="5">
        <v>0.1</v>
      </c>
      <c r="E61" s="17">
        <f>C61*D61</f>
        <v>0</v>
      </c>
      <c r="G61" s="299">
        <f>15*Parámetros!E32</f>
        <v>29160</v>
      </c>
    </row>
    <row r="62" spans="1:7" ht="13.5" hidden="1" thickBot="1">
      <c r="A62">
        <f>IF(D54&gt;=G62,G60,D54-G61)</f>
        <v>-29160</v>
      </c>
      <c r="B62" s="29" t="s">
        <v>16</v>
      </c>
      <c r="C62" s="15">
        <f>IF(A37&lt;=0,0,A37)</f>
        <v>0</v>
      </c>
      <c r="D62" s="5">
        <v>0.15</v>
      </c>
      <c r="E62" s="17">
        <f>C62*D62</f>
        <v>0</v>
      </c>
      <c r="G62" s="300">
        <f>50*Parámetros!E32</f>
        <v>97200</v>
      </c>
    </row>
    <row r="63" spans="1:7" ht="13.5" hidden="1" thickBot="1">
      <c r="A63">
        <f>IF(D54&gt;G62,D54-G62,0)</f>
        <v>0</v>
      </c>
      <c r="B63" s="30" t="s">
        <v>17</v>
      </c>
      <c r="C63" s="31">
        <f>IF(A38&lt;=0,0,A38)</f>
        <v>0</v>
      </c>
      <c r="D63" s="32">
        <v>0.25</v>
      </c>
      <c r="E63" s="33">
        <f>C63*D63</f>
        <v>0</v>
      </c>
      <c r="G63" s="166"/>
    </row>
    <row r="64" spans="3:7" ht="18.75" hidden="1" thickBot="1">
      <c r="C64" s="374" t="s">
        <v>6</v>
      </c>
      <c r="D64" s="376"/>
      <c r="E64" s="18">
        <f>SUM(E61:E62)</f>
        <v>0</v>
      </c>
      <c r="G64" s="166"/>
    </row>
    <row r="65" spans="1:7" ht="12.75" hidden="1">
      <c r="A65" s="295"/>
      <c r="B65" s="295"/>
      <c r="C65" s="27"/>
      <c r="D65" s="27"/>
      <c r="E65" s="296"/>
      <c r="F65" s="295"/>
      <c r="G65" s="297"/>
    </row>
    <row r="66" spans="1:7" ht="12.75" hidden="1">
      <c r="A66" s="295"/>
      <c r="B66" s="295"/>
      <c r="C66" s="27"/>
      <c r="D66" s="27"/>
      <c r="E66" s="296"/>
      <c r="F66" s="295"/>
      <c r="G66" s="297"/>
    </row>
    <row r="67" ht="12.75" hidden="1">
      <c r="G67" s="27"/>
    </row>
    <row r="68" ht="12.75" hidden="1">
      <c r="G68" s="27"/>
    </row>
    <row r="69" ht="13.5" hidden="1" thickBot="1">
      <c r="G69" s="166"/>
    </row>
    <row r="70" spans="2:7" ht="16.5" hidden="1" thickBot="1">
      <c r="B70" s="135" t="s">
        <v>44</v>
      </c>
      <c r="C70" s="136"/>
      <c r="D70" s="137"/>
      <c r="G70" s="167"/>
    </row>
    <row r="71" ht="13.5" hidden="1" thickBot="1">
      <c r="C71" s="132"/>
    </row>
    <row r="72" spans="3:7" ht="13.5" hidden="1" thickBot="1">
      <c r="C72" s="264">
        <f>IF(B12&gt;G51,B12*6%,(IF(B12&lt;=F50,0,IF(AND(B12&gt;F50,B12&lt;=G50),B12*2%-(F50-(B12-(B12*2%))),IF(AND(B12&gt;F51,B12&lt;=G51),B12*6%-(I51-(B12-(B12*6%))),B12*2%)))))</f>
        <v>0</v>
      </c>
      <c r="E72" s="133" t="s">
        <v>46</v>
      </c>
      <c r="G72" s="164"/>
    </row>
    <row r="73" spans="3:7" ht="16.5" hidden="1" thickBot="1">
      <c r="C73" s="264">
        <f>IF(C12&gt;G51,C12*6%,(IF(C12&lt;=F50,0,IF(AND(C12&gt;F50,C12&lt;=G50),C12*2%-(F50-(C12-(C12*2%))),IF(AND(C12&gt;F51,C12&lt;=G51),C12*6%-(I51-(C12-(C12*6%))),C12*2%)))))</f>
        <v>0</v>
      </c>
      <c r="E73" s="93">
        <f>IF(G25&gt;G52,G25*2%,(IF(G25&lt;=F51,0,G25-F51)))+IF(E25&gt;G52,E25*2%,(IF(E25&lt;=F51,0,E25-F51)))+IF(D25&gt;G52,D25*2%,(IF(D25&lt;=F51,0,D25-F51)))</f>
        <v>0</v>
      </c>
      <c r="G73" s="164"/>
    </row>
    <row r="74" spans="3:7" ht="13.5" hidden="1" thickBot="1">
      <c r="C74" s="264">
        <f>IF(D12&gt;G51,D12*6%,(IF(D12&lt;=F50,0,IF(AND(D12&gt;F50,D12&lt;=G50),D12*2%-(F50-(D12-(D12*2%))),IF(AND(D12&gt;F51,D12&lt;=G51),D12*6%-(I51-(D12-(D12*6%))),D12*2%)))))</f>
        <v>0</v>
      </c>
      <c r="G74" s="164"/>
    </row>
    <row r="75" spans="3:5" ht="13.5" hidden="1" thickBot="1">
      <c r="C75" s="264">
        <f>IF(E12&gt;G51,E12*6%,(IF(E12&lt;=F50,0,IF(AND(E12&gt;F50,E12&lt;=G50),E12*2%-(F50-(E12-(E12*2%))),IF(AND(E12&gt;F51,E12&lt;=G51),E12*6%-(I51-(E12-(E12*6%))),E12*2%)))))</f>
        <v>0</v>
      </c>
      <c r="E75" s="134" t="s">
        <v>47</v>
      </c>
    </row>
    <row r="76" spans="3:7" ht="16.5" hidden="1" thickBot="1">
      <c r="C76" s="264">
        <f>IF(F12&gt;G51,F12*6%,(IF(F12&lt;=F50,0,IF(AND(F12&gt;F50,F12&lt;=G50),F12*2%-(F50-(F12-(F12*2%))),IF(AND(F12&gt;F51,F12&lt;=G51),F12*6%-(I51-(F12-(F12*6%))),F12*2%)))))</f>
        <v>0</v>
      </c>
      <c r="E76" s="270">
        <f>IF(G29&gt;G52,G29*2%,(IF(G29&lt;=F51,0,G29-F51)))+IF(E29&gt;G52,E29*2%,(IF(E29&lt;=F51,0,E29-F51)))+IF(D29&gt;G52,D29*2%,(IF(D29&lt;=F51,0,D29-F51)))</f>
        <v>0</v>
      </c>
      <c r="G76" s="164"/>
    </row>
    <row r="77" ht="13.5" hidden="1" thickBot="1">
      <c r="C77" s="264">
        <f>IF(G12&gt;G51,G12*6%,(IF(G12&lt;=F50,0,IF(AND(G12&gt;F50,G12&lt;=G50),G12*2%-(F50-(G12-(G12*2%))),IF(AND(G12&gt;F51,G12&lt;=G51),G12*6%-(I51-(G12-(G12*6%))),G12*2%)))))</f>
        <v>0</v>
      </c>
    </row>
    <row r="78" spans="2:3" ht="18.75" hidden="1" thickBot="1">
      <c r="B78" s="138" t="s">
        <v>45</v>
      </c>
      <c r="C78" s="265">
        <f>SUM(C72:C77)</f>
        <v>0</v>
      </c>
    </row>
    <row r="79" ht="13.5" hidden="1" thickBot="1"/>
    <row r="80" spans="2:4" ht="16.5" hidden="1" thickBot="1">
      <c r="B80" s="430" t="s">
        <v>48</v>
      </c>
      <c r="C80" s="431"/>
      <c r="D80" s="432"/>
    </row>
    <row r="81" ht="12.75" hidden="1">
      <c r="C81" s="266">
        <f>IF(G9&gt;G51,G9*6%,(IF(G9&lt;=F50,0,IF(AND(G9&gt;F50,G9&lt;=G50),G9*2%-(F50-(G9-(G9*2%))),IF(AND(G9&gt;F51,G9&lt;=G51),G9*6%-(I51-(G9-(G9*6%))),G9*2%)))))</f>
        <v>0</v>
      </c>
    </row>
    <row r="82" ht="12.75" hidden="1">
      <c r="C82" s="267">
        <f>IF(E9&gt;G51,E9*6%,(IF(E9&lt;=F50,0,IF(AND(E9&gt;F50,E9&lt;=G50),E9*2%-(F50-(E9-(E9*2%))),IF(AND(E9&gt;F51,E9&lt;=G51),E9*6%-(I51-(E9-(E9*6%))),E9*2%)))))</f>
        <v>0</v>
      </c>
    </row>
    <row r="83" ht="13.5" hidden="1" thickBot="1">
      <c r="C83" s="268">
        <f>IF(D9&gt;G51,D9*6%,(IF(D9&lt;=F50,0,IF(AND(D9&gt;F50,D9&lt;=G50),D9*2%-(F50-(D9-(D9*2%))),IF(AND(D9&gt;F51,D9&lt;=G51),D9*6%-(I51-(D9-(D9*6%))),D9*2%)))))</f>
        <v>0</v>
      </c>
    </row>
    <row r="84" spans="2:3" ht="18.75" hidden="1" thickBot="1">
      <c r="B84" s="143" t="s">
        <v>45</v>
      </c>
      <c r="C84" s="269">
        <f>SUM(C81:C83)</f>
        <v>0</v>
      </c>
    </row>
    <row r="85" ht="12.75" hidden="1"/>
    <row r="86" ht="12.75" hidden="1"/>
    <row r="87" ht="12.75" hidden="1"/>
    <row r="88" ht="13.5" hidden="1" thickBot="1"/>
    <row r="89" spans="3:5" ht="13.5" hidden="1" thickBot="1">
      <c r="C89" s="418" t="s">
        <v>49</v>
      </c>
      <c r="D89" s="419"/>
      <c r="E89" s="86">
        <f>Parámetros!E57</f>
        <v>59414</v>
      </c>
    </row>
    <row r="90" ht="13.5" hidden="1" thickBot="1"/>
    <row r="91" spans="4:5" ht="16.5" hidden="1" thickBot="1">
      <c r="D91" s="85" t="s">
        <v>50</v>
      </c>
      <c r="E91" s="156">
        <f>C49*15%</f>
        <v>0</v>
      </c>
    </row>
    <row r="92" spans="4:5" ht="16.5" hidden="1" thickBot="1">
      <c r="D92" s="85" t="s">
        <v>51</v>
      </c>
      <c r="E92" s="156">
        <f>IF(C49&lt;=E89,C49*15%,E89*15%)</f>
        <v>0</v>
      </c>
    </row>
    <row r="93" ht="13.5" hidden="1" thickBot="1">
      <c r="E93" s="1"/>
    </row>
    <row r="94" spans="4:5" ht="18.75" hidden="1" thickBot="1">
      <c r="D94" s="85" t="s">
        <v>53</v>
      </c>
      <c r="E94" s="157">
        <f>IF(G7=1,E92,E91)</f>
        <v>0</v>
      </c>
    </row>
    <row r="95" ht="13.5" hidden="1" thickBot="1"/>
    <row r="96" spans="2:7" ht="27.75" hidden="1" thickBot="1" thickTop="1">
      <c r="B96" s="420" t="s">
        <v>22</v>
      </c>
      <c r="C96" s="421"/>
      <c r="D96" s="421"/>
      <c r="E96" s="421"/>
      <c r="F96" s="421"/>
      <c r="G96" s="184">
        <f>C119</f>
        <v>0</v>
      </c>
    </row>
    <row r="97" ht="13.5" hidden="1" thickBot="1"/>
    <row r="98" spans="2:4" ht="21" hidden="1" thickBot="1">
      <c r="B98" s="397" t="s">
        <v>11</v>
      </c>
      <c r="C98" s="398"/>
      <c r="D98" s="399"/>
    </row>
    <row r="99" spans="2:5" ht="18.75" hidden="1" thickBot="1">
      <c r="B99" s="422" t="s">
        <v>64</v>
      </c>
      <c r="C99" s="423"/>
      <c r="D99" s="424"/>
      <c r="E99" s="215">
        <f>Parámetros!E4</f>
        <v>2106</v>
      </c>
    </row>
    <row r="100" ht="13.5" hidden="1" thickBot="1"/>
    <row r="101" spans="2:4" ht="21" hidden="1" thickBot="1">
      <c r="B101" s="403" t="s">
        <v>11</v>
      </c>
      <c r="C101" s="404"/>
      <c r="D101" s="405"/>
    </row>
    <row r="102" spans="2:5" ht="18.75" hidden="1" thickBot="1">
      <c r="B102" s="425" t="s">
        <v>114</v>
      </c>
      <c r="C102" s="426"/>
      <c r="D102" s="427"/>
      <c r="E102" s="126">
        <f>Parámetros!E9</f>
        <v>4212</v>
      </c>
    </row>
    <row r="103" ht="13.5" hidden="1" thickBot="1"/>
    <row r="104" spans="1:7" ht="16.5" hidden="1" thickBot="1">
      <c r="A104" s="382" t="s">
        <v>23</v>
      </c>
      <c r="B104" s="396"/>
      <c r="C104" s="383"/>
      <c r="E104" s="382" t="s">
        <v>25</v>
      </c>
      <c r="F104" s="396"/>
      <c r="G104" s="383"/>
    </row>
    <row r="105" spans="2:6" ht="18.75" hidden="1" thickBot="1">
      <c r="B105" s="46">
        <f>IF(G5=0,0,(E94+C50+C48+(C20/12)+(F20/12)+C21+F21+(G14*E99)+(G16*E102)))</f>
        <v>0</v>
      </c>
      <c r="E105" s="84">
        <f>IF(A25&gt;E128,A25*1%,A25*3%)</f>
        <v>0</v>
      </c>
      <c r="F105" s="49">
        <f>IF(A25&lt;=0,0,IF(AND(A29&lt;=0,B105&lt;=0),F108,IF(AND(A29&lt;=0,E105&gt;0),E102+E105,F108)))</f>
        <v>0</v>
      </c>
    </row>
    <row r="106" spans="2:6" ht="18.75" hidden="1" thickBot="1">
      <c r="B106" s="87"/>
      <c r="E106" s="88"/>
      <c r="F106" s="49"/>
    </row>
    <row r="107" ht="13.5" hidden="1" thickBot="1"/>
    <row r="108" spans="1:6" ht="16.5" hidden="1" thickBot="1">
      <c r="A108" s="83"/>
      <c r="C108" s="382" t="s">
        <v>26</v>
      </c>
      <c r="D108" s="383"/>
      <c r="E108" s="85">
        <f>IF(G5&lt;=0,(C20/12)+(F20/12)+C21+F21+G14*E99+G16*E102,0)</f>
        <v>0</v>
      </c>
      <c r="F108" s="86">
        <f>E108+E105+E102</f>
        <v>4212</v>
      </c>
    </row>
    <row r="109" spans="3:4" ht="21" hidden="1" thickBot="1">
      <c r="C109" s="384">
        <f>IF(A29&lt;=0,0,IF(AND(A25&lt;=0,B105&lt;=0),F108,IF(AND(A25&lt;=0,B105&gt;0),F108,0)))</f>
        <v>0</v>
      </c>
      <c r="D109" s="385"/>
    </row>
    <row r="110" spans="3:4" ht="21" hidden="1" thickBot="1">
      <c r="C110" s="36"/>
      <c r="D110" s="36"/>
    </row>
    <row r="111" spans="2:5" ht="24" hidden="1" thickBot="1">
      <c r="B111" s="388" t="s">
        <v>35</v>
      </c>
      <c r="C111" s="389"/>
      <c r="D111" s="390"/>
      <c r="E111" s="47">
        <f>B105</f>
        <v>0</v>
      </c>
    </row>
    <row r="112" ht="13.5" hidden="1" thickBot="1"/>
    <row r="113" spans="2:7" ht="13.5" hidden="1" thickBot="1">
      <c r="B113" s="41" t="s">
        <v>5</v>
      </c>
      <c r="C113" s="52" t="s">
        <v>18</v>
      </c>
      <c r="D113" s="41" t="s">
        <v>9</v>
      </c>
      <c r="E113" s="53" t="s">
        <v>88</v>
      </c>
      <c r="G113" s="54" t="s">
        <v>5</v>
      </c>
    </row>
    <row r="114" spans="1:7" ht="15" hidden="1">
      <c r="A114" s="37">
        <f>IF(E111&lt;=G114,E111,G114)</f>
        <v>0</v>
      </c>
      <c r="B114" s="100" t="s">
        <v>115</v>
      </c>
      <c r="C114" s="101">
        <f>IF(A114&lt;=0,0,A114)</f>
        <v>0</v>
      </c>
      <c r="D114" s="102">
        <v>0.1</v>
      </c>
      <c r="E114" s="103">
        <f>C114*D114</f>
        <v>0</v>
      </c>
      <c r="G114" s="122">
        <f>3*Parámetros!E32</f>
        <v>5832</v>
      </c>
    </row>
    <row r="115" spans="1:7" ht="15" hidden="1">
      <c r="A115" s="37">
        <f>IF(E111&gt;=G115,G115-G114,E111-G114)</f>
        <v>-5832</v>
      </c>
      <c r="B115" s="104" t="s">
        <v>116</v>
      </c>
      <c r="C115" s="105">
        <f>IF(A115&lt;=0,0,A115)</f>
        <v>0</v>
      </c>
      <c r="D115" s="106">
        <v>0.15</v>
      </c>
      <c r="E115" s="107">
        <f>C115*D115</f>
        <v>0</v>
      </c>
      <c r="G115" s="123">
        <f>8*Parámetros!E32</f>
        <v>15552</v>
      </c>
    </row>
    <row r="116" spans="1:7" ht="15" hidden="1">
      <c r="A116" s="37">
        <f>IF(E111&gt;=G116,G116-G115,E111-G115)</f>
        <v>-15552</v>
      </c>
      <c r="B116" s="108" t="s">
        <v>117</v>
      </c>
      <c r="C116" s="109">
        <f>IF(A116&lt;=0,0,A116)</f>
        <v>0</v>
      </c>
      <c r="D116" s="110">
        <v>0.2</v>
      </c>
      <c r="E116" s="111">
        <f>C116*D116</f>
        <v>0</v>
      </c>
      <c r="G116" s="124">
        <f>43*Parámetros!E32</f>
        <v>83592</v>
      </c>
    </row>
    <row r="117" spans="1:7" ht="15.75" hidden="1" thickBot="1">
      <c r="A117" s="37">
        <f>IF(E111&gt;=G117,G117-G116,E111-G116)</f>
        <v>-83592</v>
      </c>
      <c r="B117" s="112" t="s">
        <v>118</v>
      </c>
      <c r="C117" s="113">
        <f>IF(A117&lt;=0,0,A117)</f>
        <v>0</v>
      </c>
      <c r="D117" s="114">
        <v>0.22</v>
      </c>
      <c r="E117" s="115">
        <f>C117*D117</f>
        <v>0</v>
      </c>
      <c r="G117" s="125">
        <f>93*Parámetros!E32</f>
        <v>180792</v>
      </c>
    </row>
    <row r="118" spans="1:5" ht="15.75" hidden="1" thickBot="1">
      <c r="A118" s="37">
        <f>IF(E111&gt;G117,E111-G117,0)</f>
        <v>0</v>
      </c>
      <c r="B118" s="116" t="s">
        <v>119</v>
      </c>
      <c r="C118" s="117">
        <f>IF(A118&lt;=0,0,A118)</f>
        <v>0</v>
      </c>
      <c r="D118" s="182">
        <v>0.25</v>
      </c>
      <c r="E118" s="183">
        <f>C118*D118</f>
        <v>0</v>
      </c>
    </row>
    <row r="119" spans="2:5" ht="27" hidden="1" thickBot="1">
      <c r="B119" s="120"/>
      <c r="C119" s="411">
        <f>SUM(E114:E118)</f>
        <v>0</v>
      </c>
      <c r="D119" s="412"/>
      <c r="E119" s="413"/>
    </row>
    <row r="120" ht="12.75" hidden="1"/>
    <row r="121" ht="13.5" hidden="1" thickBot="1"/>
    <row r="122" spans="4:5" ht="24" hidden="1" thickBot="1">
      <c r="D122" s="34" t="s">
        <v>4</v>
      </c>
      <c r="E122" s="81">
        <f>Parámetros!E32</f>
        <v>1944</v>
      </c>
    </row>
    <row r="123" ht="12.75" hidden="1"/>
    <row r="124" ht="13.5" hidden="1" thickBot="1"/>
    <row r="125" spans="3:5" ht="21" hidden="1" thickBot="1">
      <c r="C125" s="391" t="s">
        <v>39</v>
      </c>
      <c r="D125" s="392"/>
      <c r="E125" s="50">
        <f>3*E122</f>
        <v>5832</v>
      </c>
    </row>
    <row r="126" spans="3:5" ht="16.5" hidden="1" thickBot="1">
      <c r="C126" s="414" t="s">
        <v>24</v>
      </c>
      <c r="D126" s="415"/>
      <c r="E126" s="45">
        <f>3*E122+1</f>
        <v>5833</v>
      </c>
    </row>
    <row r="127" ht="13.5" hidden="1" thickBot="1"/>
    <row r="128" spans="3:5" ht="21" hidden="1" thickBot="1">
      <c r="C128" s="416" t="s">
        <v>31</v>
      </c>
      <c r="D128" s="417"/>
      <c r="E128" s="82">
        <f>Parámetros!E45</f>
        <v>5519.29</v>
      </c>
    </row>
    <row r="129" ht="12.75" hidden="1"/>
    <row r="130" ht="13.5" hidden="1" thickBot="1"/>
    <row r="131" spans="3:5" ht="21.75" hidden="1" thickBot="1" thickTop="1">
      <c r="C131" s="409" t="s">
        <v>52</v>
      </c>
      <c r="D131" s="410"/>
      <c r="E131" s="181">
        <f>Parámetros!E57</f>
        <v>59414</v>
      </c>
    </row>
    <row r="132" ht="12.75" hidden="1"/>
    <row r="133" ht="12.75" hidden="1"/>
    <row r="134" ht="12.75" hidden="1"/>
    <row r="135" ht="12.75" hidden="1"/>
    <row r="136" ht="13.5" thickTop="1"/>
  </sheetData>
  <sheetProtection password="E71E" sheet="1" objects="1" scenarios="1"/>
  <mergeCells count="45">
    <mergeCell ref="C3:E3"/>
    <mergeCell ref="B4:F4"/>
    <mergeCell ref="B6:F6"/>
    <mergeCell ref="B7:F7"/>
    <mergeCell ref="B8:F8"/>
    <mergeCell ref="B11:F11"/>
    <mergeCell ref="B13:F13"/>
    <mergeCell ref="B14:F14"/>
    <mergeCell ref="B16:F16"/>
    <mergeCell ref="B18:F18"/>
    <mergeCell ref="B19:F19"/>
    <mergeCell ref="C23:E23"/>
    <mergeCell ref="B24:G24"/>
    <mergeCell ref="C27:E27"/>
    <mergeCell ref="B28:G28"/>
    <mergeCell ref="B31:E31"/>
    <mergeCell ref="F31:G31"/>
    <mergeCell ref="C39:D39"/>
    <mergeCell ref="F39:G39"/>
    <mergeCell ref="B41:E41"/>
    <mergeCell ref="F41:G41"/>
    <mergeCell ref="C44:D44"/>
    <mergeCell ref="F44:G44"/>
    <mergeCell ref="B46:E46"/>
    <mergeCell ref="F46:G46"/>
    <mergeCell ref="E49:F49"/>
    <mergeCell ref="B58:E58"/>
    <mergeCell ref="C64:D64"/>
    <mergeCell ref="B80:D80"/>
    <mergeCell ref="C89:D89"/>
    <mergeCell ref="B96:F96"/>
    <mergeCell ref="B98:D98"/>
    <mergeCell ref="B99:D99"/>
    <mergeCell ref="B101:D101"/>
    <mergeCell ref="B102:D102"/>
    <mergeCell ref="A104:C104"/>
    <mergeCell ref="E104:G104"/>
    <mergeCell ref="C108:D108"/>
    <mergeCell ref="C109:D109"/>
    <mergeCell ref="B111:D111"/>
    <mergeCell ref="C119:E119"/>
    <mergeCell ref="C125:D125"/>
    <mergeCell ref="C126:D126"/>
    <mergeCell ref="C128:D128"/>
    <mergeCell ref="C131:D131"/>
  </mergeCells>
  <dataValidations count="26">
    <dataValidation type="whole" allowBlank="1" showInputMessage="1" showErrorMessage="1" errorTitle="Dato no válido" error="Solo podrás ingresar números enteros, sin decimales. Tampoco digites puntos o comas." sqref="G14:G19">
      <formula1>0</formula1>
      <formula2>1E+33</formula2>
    </dataValidation>
    <dataValidation type="whole" allowBlank="1" showInputMessage="1" showErrorMessage="1" sqref="G8">
      <formula1>0</formula1>
      <formula2>1E+33</formula2>
    </dataValidation>
    <dataValidation type="whole" allowBlank="1" showInputMessage="1" showErrorMessage="1" promptTitle="PASIVIDAD" prompt="DIGITA AQUÍ DONDE ESTAS PARADO, EL IMPORTE DE TU PASIVIDAD NOMINAL, SIN DECIMALES Y SIN AGREGAR PUNTOS O COMAS. " sqref="G26">
      <formula1>0</formula1>
      <formula2>1E+37</formula2>
    </dataValidation>
    <dataValidation type="whole" allowBlank="1" showInputMessage="1" showErrorMessage="1" promptTitle="SUELDO" prompt="DIGITÁ AQUÍ DONDE ESTAS POSICIONADO, TU SUELDO NOMINAL O BRUTO SIN RESTARLE NINGUNA PARTIDA, (VER HOJA GUIA TRABAJADOR.&#10;INGRESALO SIN DECIMALES Y SIN AGREGAR PUNTOS O COMAS." errorTitle="Dato no válido" error="Solo podrás ingresar números enteros, sin decimales. Tampoco digites puntos o comas." sqref="G5">
      <formula1>0</formula1>
      <formula2>1E+36</formula2>
    </dataValidation>
    <dataValidation allowBlank="1" showInputMessage="1" showErrorMessage="1" promptTitle="B.P.C." prompt="Ingresar el valor actual de la Base de Prestaciones y Contribuciones, decretada por el Poder Ejecutivo" sqref="F55"/>
    <dataValidation type="whole" allowBlank="1" showInputMessage="1" showErrorMessage="1" promptTitle="PENSION" prompt="DIGITAR EL IMPORTE DE TU PENSIÓN NOMINAL, SIN DECIMALES. TAMPOCO DIGITES PUNTOS O COMAS.&#10;EN CASO DE TENER MAS DE UNA PENSIÓN, INGRESAR UNA POR CELDA.&#10;VER HOJA DE GUIA PENSIÓN." errorTitle="Dato no válido." error="Solo podras ingresar números enteros, sin decimales, puntos o comas" sqref="G29">
      <formula1>0</formula1>
      <formula2>1E+37</formula2>
    </dataValidation>
    <dataValidation type="whole" allowBlank="1" showInputMessage="1" showErrorMessage="1" promptTitle="JUBILACIÓN" prompt="DIGITAR AQUÍ, EL IMPORTE DE TU JUBILACIÓN NOMINAL, SIN DECIMALES Y SIN AGREGAR PUNTOS O COMAS. &#10;EN CASO DE TENER MAS DE UNA JUBILACIÓN, INGRESAR UNA JUBILACIÓN POR CELDA.&#10;VER HOJA DE GUIA JUBILACIÓN." errorTitle="Dato no válido" error="Solo podras ingresar números enteros, sin decimales, puntos o comas." sqref="G25">
      <formula1>0</formula1>
      <formula2>1E+37</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errorTitle="Dato no válido" error="Debes ingresar un número entero, sin decimilas, ni comas ni puntos." sqref="G10">
      <formula1>0</formula1>
      <formula2>1E+33</formula2>
    </dataValidation>
    <dataValidation type="whole" allowBlank="1" showInputMessage="1" showErrorMessage="1" promptTitle="BRUTO SIN PARTIDAS NO GRAVADAS" prompt="Ingresá tu SUELDO NOMINAL restandole al mismo las partidas no gravadas por el B.P.S. Por ejemplo: TICKETS ALIMENTACIÒN, TICKETS TRANSPORTE,  SEGUNDO AGUINALDO y otros, (ver hoja GUIA TRABAJADOR, punto 3). &#10;Ingresá el monto sin decimales, puntos o comas." errorTitle="Dato no válido" error="Debes ingresar un número entero, sin decimilas, ni comas ni puntos." sqref="G12">
      <formula1>0</formula1>
      <formula2>1E+33</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VER HOJA GUIA TRABAJADOR, punto 3). Ingresalo sin decimales, puntos o comas." errorTitle="Dato no válido" error="Debes ingresar un número entero, sin decimilas, ni comas ni puntos." sqref="G9">
      <formula1>0</formula1>
      <formula2>1E+33</formula2>
    </dataValidation>
    <dataValidation type="whole" allowBlank="1" showInputMessage="1" showErrorMessage="1" promptTitle="APORTES a CAJA de PROFESIONALES " prompt="Ingresar el aporte mensual a la CAJA DE JUBILACIONES y PENSIONES DE PROFESIONALES UNIVERSITARIOS." errorTitle="Dato no válido" error="Debe ingresar un número entero." sqref="C21">
      <formula1>1</formula1>
      <formula2>1000000000000000000</formula2>
    </dataValidation>
    <dataValidation type="whole" allowBlank="1" showInputMessage="1" showErrorMessage="1" promptTitle="REINTEGROS CAJA PROFESIONAL" prompt="Ingresar el importe mensual de los REINTEGROS de CAJA DE JUBILACIONES Y PENSIONES DE PROFESIONALES UNIVERSITARIOS." errorTitle="Dato no válido" error="Ingresar un número entero, sin puntos ni comas." sqref="F21">
      <formula1>1</formula1>
      <formula2>10000000000000000000</formula2>
    </dataValidation>
    <dataValidation type="whole" allowBlank="1" showInputMessage="1" showErrorMessage="1" promptTitle="FONDO DE SOLIDARIDAD" prompt="Ingresar la cifra anual que se paga por concepto de Fondo de Solidaridad. En caso de los Técnicos de Administración es la mitad de una B.P.C." errorTitle="Dato no válido" error="Debe ingresar un número entero." sqref="C20">
      <formula1>1</formula1>
      <formula2>1000000000000000000</formula2>
    </dataValidation>
    <dataValidation type="whole" allowBlank="1" showInputMessage="1" showErrorMessage="1" promptTitle="ADICIONAL F.de SOLIDARIDAD" prompt="Ingresar el importe anual por concepto de adicional del FONDO de SOLIDARIDAD" errorTitle="Dato no válido" error="Ingresar un número entero" sqref="F20">
      <formula1>1</formula1>
      <formula2>10000000000000000000</formula2>
    </dataValidation>
    <dataValidation type="whole" allowBlank="1" showInputMessage="1" showErrorMessage="1" promptTitle="MULTIEMPLEO PUBLICO" prompt="Registrar un sueldo por empresa y por celda." errorTitle="Dato no válidoc" error="Debes ingresar un número entero, sin puntos ni comas." sqref="D9:E9">
      <formula1>0</formula1>
      <formula2>1000000000000000000</formula2>
    </dataValidation>
    <dataValidation type="whole" allowBlank="1" showInputMessage="1" showErrorMessage="1" promptTitle="MULTIEMPLEO PRIVADO" prompt="Registrar un sueldo por empresa y por celda." errorTitle="Dato no válido" error="Tienes que ingresar un número entero, sin puntos ni comas." sqref="B12:F12">
      <formula1>0</formula1>
      <formula2>1E+22</formula2>
    </dataValidation>
    <dataValidation type="whole" allowBlank="1" showInputMessage="1" showErrorMessage="1" promptTitle="MULTI-JUBILACIÓN" prompt="Registrar una jubilación por celda." errorTitle="Dato no válido" error="Ingresar un número entero, sin comas ni puntos." sqref="D25:E25">
      <formula1>0</formula1>
      <formula2>1000000000000000000</formula2>
    </dataValidation>
    <dataValidation type="whole" allowBlank="1" showInputMessage="1" showErrorMessage="1" promptTitle="MULTI-PENSIÓN" prompt="Ingresar una pensión por celda" errorTitle="Dato no válido" error="Ingresar un número entero, sin puntos ni comas." sqref="D29:E29">
      <formula1>0</formula1>
      <formula2>10000000000000000</formula2>
    </dataValidation>
    <dataValidation type="whole" allowBlank="1" showInputMessage="1" showErrorMessage="1" promptTitle="REGIMEN NUEVO O DE TRANSICIÓN" prompt="Se debe marcar 1 en caso de NUEVO REGIMEN.&#10;Se debe marcar 2 en caso de REGIMEN de TRANSICIÓN." errorTitle="Dato no válido" error="Solo se puede ingresar el valor 1 o el valor 2" sqref="G7">
      <formula1>1</formula1>
      <formula2>2</formula2>
    </dataValidation>
    <dataValidation type="whole" allowBlank="1" showInputMessage="1" showErrorMessage="1" sqref="F46:G46">
      <formula1>0</formula1>
      <formula2>10000000000000000</formula2>
    </dataValidation>
    <dataValidation type="whole" allowBlank="1" showInputMessage="1" showErrorMessage="1" sqref="G27">
      <formula1>0</formula1>
      <formula2>1E+37</formula2>
    </dataValidation>
    <dataValidation type="whole" allowBlank="1" showInputMessage="1" showErrorMessage="1" promptTitle="SUELDO NOMINAL" prompt="DEBE INGRESAR EL SUELDO NOMINAL SIN RESTAR NINGUNA PARTIDA. (VER GUIA TRABAJADOR)" errorTitle="Dato no válido" error="Debe ingresar un número entero, sin comas ni puntos." sqref="G4">
      <formula1>0</formula1>
      <formula2>1E+23</formula2>
    </dataValidation>
    <dataValidation type="whole" allowBlank="1" showInputMessage="1" showErrorMessage="1" promptTitle="HIJOS MENORES DE 18 AÑOS" prompt="DIGITÁ AQUÍ DONDE ESTAS POSICIONADO, 1 SI TENES HIJOS MENORES DE 18 AÑOS O DISCAPACITADOS DE CUALQUIER EDAD A TU CARGO. DE LO CONTRARIO DIGITAR 0." errorTitle="Dato no válido" error="Solo podrás ingresar 1 o 0." sqref="G6">
      <formula1>0</formula1>
      <formula2>1</formula2>
    </dataValidation>
    <dataValidation type="whole" allowBlank="1" showInputMessage="1" showErrorMessage="1" promptTitle="B.P.C." prompt="Ingresar el valor de la BASE de PRESTACIONES y CONTRIBUCIONES. Ingresar el valor vigente, decretado por el Poder Ejecutivo. Varía en cada ocación de aumento de salarios a los funcionarios públicos." errorTitle="Dato no válido" error="Ingresar una cifra entera, sin decimales ni puntos ni comas." sqref="E122">
      <formula1>0</formula1>
      <formula2>1000000000000</formula2>
    </dataValidation>
    <dataValidation type="decimal" allowBlank="1" showInputMessage="1" showErrorMessage="1" promptTitle="TOPE CUOTA MUTUAL" prompt="Ingresar en esta celda el valor establecido por el Poder Ejecutivo, que hace de tope para poseer el derecho a la cuota mutual, para aquellas personas que se jubilaron como empleados en su última actividad laboral." errorTitle="Dato no válido" error="Debe ingresar un número con hasta dos decimales." sqref="E128">
      <formula1>0</formula1>
      <formula2>10000000000000</formula2>
    </dataValidation>
    <dataValidation allowBlank="1" showInputMessage="1" showErrorMessage="1" promptTitle="TOPE TERCER NIVEL, LEY 16713" prompt="Establecer el valor que fija el Poder Ejecutivo, como tope del aporte personal jubilatorio, para aquellas personas que están dentro del nuevo régimen, (solidaridad intergeneracional y AFAP)" sqref="E131"/>
  </dataValidations>
  <printOptions/>
  <pageMargins left="0.75" right="0.75" top="1" bottom="1" header="0" footer="0"/>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K40" sqref="K40"/>
    </sheetView>
  </sheetViews>
  <sheetFormatPr defaultColWidth="11.421875" defaultRowHeight="12.75"/>
  <sheetData/>
  <sheetProtection password="E71E" sheet="1" objects="1" scenarios="1"/>
  <printOptions/>
  <pageMargins left="0.75" right="0.75" top="1" bottom="1" header="0" footer="0"/>
  <pageSetup horizontalDpi="600" verticalDpi="600" orientation="portrait" paperSize="9" r:id="rId3"/>
  <legacyDrawing r:id="rId2"/>
  <oleObjects>
    <oleObject progId="Word.Document.8" shapeId="112596" r:id="rId1"/>
  </oleObjects>
</worksheet>
</file>

<file path=xl/worksheets/sheet2.xml><?xml version="1.0" encoding="utf-8"?>
<worksheet xmlns="http://schemas.openxmlformats.org/spreadsheetml/2006/main" xmlns:r="http://schemas.openxmlformats.org/officeDocument/2006/relationships">
  <dimension ref="A1:G57"/>
  <sheetViews>
    <sheetView showGridLines="0" workbookViewId="0" topLeftCell="B1">
      <selection activeCell="F32" sqref="F32"/>
    </sheetView>
  </sheetViews>
  <sheetFormatPr defaultColWidth="11.421875" defaultRowHeight="12.75"/>
  <cols>
    <col min="1" max="1" width="17.57421875" style="0" hidden="1" customWidth="1"/>
    <col min="2" max="2" width="15.00390625" style="0" customWidth="1"/>
    <col min="3" max="3" width="12.421875" style="0" customWidth="1"/>
    <col min="4" max="4" width="24.8515625" style="0" customWidth="1"/>
    <col min="5" max="5" width="21.421875" style="0" customWidth="1"/>
    <col min="6" max="6" width="14.421875" style="0" bestFit="1" customWidth="1"/>
  </cols>
  <sheetData>
    <row r="1" spans="2:6" ht="24" customHeight="1" thickBot="1">
      <c r="B1" s="393" t="s">
        <v>91</v>
      </c>
      <c r="C1" s="394"/>
      <c r="D1" s="394"/>
      <c r="E1" s="394"/>
      <c r="F1" s="395"/>
    </row>
    <row r="2" ht="13.5" thickBot="1"/>
    <row r="3" spans="2:4" ht="19.5" customHeight="1" thickBot="1">
      <c r="B3" s="397" t="s">
        <v>11</v>
      </c>
      <c r="C3" s="398"/>
      <c r="D3" s="399"/>
    </row>
    <row r="4" spans="2:5" ht="18.75" thickBot="1">
      <c r="B4" s="406" t="s">
        <v>64</v>
      </c>
      <c r="C4" s="407"/>
      <c r="D4" s="408"/>
      <c r="E4" s="271">
        <f>(E32*13)/12</f>
        <v>2106</v>
      </c>
    </row>
    <row r="5" spans="2:5" ht="18" hidden="1">
      <c r="B5" s="257"/>
      <c r="C5" s="257"/>
      <c r="D5" s="257"/>
      <c r="E5" s="258"/>
    </row>
    <row r="6" spans="2:5" ht="18" hidden="1">
      <c r="B6" s="257"/>
      <c r="C6" s="257"/>
      <c r="D6" s="257"/>
      <c r="E6" s="258"/>
    </row>
    <row r="7" ht="13.5" thickBot="1"/>
    <row r="8" spans="2:4" ht="19.5" customHeight="1" thickBot="1">
      <c r="B8" s="403" t="s">
        <v>11</v>
      </c>
      <c r="C8" s="404"/>
      <c r="D8" s="405"/>
    </row>
    <row r="9" spans="2:5" ht="18.75" thickBot="1">
      <c r="B9" s="400" t="s">
        <v>114</v>
      </c>
      <c r="C9" s="401"/>
      <c r="D9" s="402"/>
      <c r="E9" s="272">
        <f>(E32*26)/12</f>
        <v>4212</v>
      </c>
    </row>
    <row r="10" ht="13.5" thickBot="1"/>
    <row r="11" spans="1:7" ht="16.5" hidden="1" thickBot="1">
      <c r="A11" s="382" t="s">
        <v>23</v>
      </c>
      <c r="B11" s="396"/>
      <c r="C11" s="383"/>
      <c r="E11" s="382" t="s">
        <v>25</v>
      </c>
      <c r="F11" s="396"/>
      <c r="G11" s="383"/>
    </row>
    <row r="12" spans="2:6" ht="18.75" hidden="1" thickBot="1">
      <c r="B12" s="46" t="e">
        <f>IF(#REF!=0,0,(#REF!+#REF!+#REF!+(#REF!/12)+(#REF!/12)+#REF!+#REF!+(#REF!*Parámetros!E4)+(#REF!*Parámetros!E9)))</f>
        <v>#REF!</v>
      </c>
      <c r="E12" s="84" t="e">
        <f>IF(#REF!&gt;Parámetros!E45,#REF!*1%,#REF!*3%)</f>
        <v>#REF!</v>
      </c>
      <c r="F12" s="49" t="e">
        <f>IF(#REF!&lt;=0,0,IF(AND(#REF!&lt;=0,B12&lt;=0),F15,IF(AND(#REF!&lt;=0,Parámetros!B12&gt;0),E9+E12,Parámetros!F15)))</f>
        <v>#REF!</v>
      </c>
    </row>
    <row r="13" spans="2:6" ht="18.75" hidden="1" thickBot="1">
      <c r="B13" s="87"/>
      <c r="E13" s="88"/>
      <c r="F13" s="49"/>
    </row>
    <row r="14" ht="13.5" hidden="1" thickBot="1"/>
    <row r="15" spans="1:6" ht="16.5" hidden="1" thickBot="1">
      <c r="A15" s="83"/>
      <c r="C15" s="382" t="s">
        <v>26</v>
      </c>
      <c r="D15" s="383"/>
      <c r="E15" s="85" t="e">
        <f>IF(#REF!&lt;=0,(#REF!/12)+(#REF!/12)+#REF!+#REF!+#REF!*Parámetros!E4+#REF!*Parámetros!E9,0)</f>
        <v>#REF!</v>
      </c>
      <c r="F15" s="86" t="e">
        <f>E15+E12+E9</f>
        <v>#REF!</v>
      </c>
    </row>
    <row r="16" spans="3:4" ht="21" hidden="1" thickBot="1">
      <c r="C16" s="384" t="e">
        <f>IF(#REF!&lt;=0,0,IF(AND(#REF!&lt;=0,B12&lt;=0),F15,IF(AND(#REF!&lt;=0,Parámetros!B12&gt;0),Parámetros!F15,0)))</f>
        <v>#REF!</v>
      </c>
      <c r="D16" s="385"/>
    </row>
    <row r="17" spans="3:4" ht="21" hidden="1" thickBot="1">
      <c r="C17" s="36"/>
      <c r="D17" s="36"/>
    </row>
    <row r="18" spans="2:5" ht="20.25" customHeight="1" hidden="1" thickBot="1">
      <c r="B18" s="388" t="s">
        <v>35</v>
      </c>
      <c r="C18" s="389"/>
      <c r="D18" s="390"/>
      <c r="E18" s="47" t="e">
        <f>B12+F12+C16</f>
        <v>#REF!</v>
      </c>
    </row>
    <row r="19" ht="13.5" hidden="1" thickBot="1"/>
    <row r="20" spans="2:7" ht="13.5" hidden="1" thickBot="1">
      <c r="B20" s="41" t="s">
        <v>5</v>
      </c>
      <c r="C20" s="52" t="s">
        <v>18</v>
      </c>
      <c r="D20" s="41" t="s">
        <v>9</v>
      </c>
      <c r="E20" s="53" t="s">
        <v>10</v>
      </c>
      <c r="G20" s="54" t="s">
        <v>5</v>
      </c>
    </row>
    <row r="21" spans="1:7" ht="15" hidden="1">
      <c r="A21" s="37" t="e">
        <f>IF(E18&lt;=G21,E18,G21)</f>
        <v>#REF!</v>
      </c>
      <c r="B21" s="100" t="s">
        <v>1</v>
      </c>
      <c r="C21" s="101" t="e">
        <f>IF(A21&lt;=0,0,A21)</f>
        <v>#REF!</v>
      </c>
      <c r="D21" s="102">
        <v>0.1</v>
      </c>
      <c r="E21" s="103" t="e">
        <f>C21*D21</f>
        <v>#REF!</v>
      </c>
      <c r="G21" s="122">
        <f>5*E32</f>
        <v>9720</v>
      </c>
    </row>
    <row r="22" spans="1:7" ht="15" hidden="1">
      <c r="A22" s="37" t="e">
        <f>IF(E18&gt;=G22,G21,E18-G21)</f>
        <v>#REF!</v>
      </c>
      <c r="B22" s="104" t="s">
        <v>2</v>
      </c>
      <c r="C22" s="105" t="e">
        <f>IF(A22&lt;=0,0,A22)</f>
        <v>#REF!</v>
      </c>
      <c r="D22" s="106">
        <v>0.15</v>
      </c>
      <c r="E22" s="107" t="e">
        <f>C22*D22</f>
        <v>#REF!</v>
      </c>
      <c r="G22" s="123">
        <f>10*E32</f>
        <v>19440</v>
      </c>
    </row>
    <row r="23" spans="1:7" ht="15" hidden="1">
      <c r="A23" s="37" t="e">
        <f>IF(E18&gt;=G23,G23-G22,E18-G22)</f>
        <v>#REF!</v>
      </c>
      <c r="B23" s="108" t="s">
        <v>19</v>
      </c>
      <c r="C23" s="109" t="e">
        <f>IF(A23&lt;=0,0,A23)</f>
        <v>#REF!</v>
      </c>
      <c r="D23" s="110">
        <v>0.2</v>
      </c>
      <c r="E23" s="111" t="e">
        <f>C23*D23</f>
        <v>#REF!</v>
      </c>
      <c r="G23" s="124">
        <f>45*E32</f>
        <v>87480</v>
      </c>
    </row>
    <row r="24" spans="1:7" ht="15.75" hidden="1" thickBot="1">
      <c r="A24" s="37" t="e">
        <f>IF(E18&gt;=G24,G24-G23,E18-G23)</f>
        <v>#REF!</v>
      </c>
      <c r="B24" s="112" t="s">
        <v>20</v>
      </c>
      <c r="C24" s="113" t="e">
        <f>IF(A24&lt;=0,0,A24)</f>
        <v>#REF!</v>
      </c>
      <c r="D24" s="114">
        <v>0.22</v>
      </c>
      <c r="E24" s="115" t="e">
        <f>C24*D24</f>
        <v>#REF!</v>
      </c>
      <c r="G24" s="125">
        <f>95*E32</f>
        <v>184680</v>
      </c>
    </row>
    <row r="25" spans="1:5" ht="15.75" hidden="1" thickBot="1">
      <c r="A25" s="37" t="e">
        <f>IF(E18&gt;G24,E18-G24,0)</f>
        <v>#REF!</v>
      </c>
      <c r="B25" s="116" t="s">
        <v>21</v>
      </c>
      <c r="C25" s="117" t="e">
        <f>IF(A25&lt;=0,0,A25)</f>
        <v>#REF!</v>
      </c>
      <c r="D25" s="118">
        <v>0.25</v>
      </c>
      <c r="E25" s="119" t="e">
        <f>C25*D25</f>
        <v>#REF!</v>
      </c>
    </row>
    <row r="26" spans="2:5" ht="27" hidden="1" thickBot="1">
      <c r="B26" s="120"/>
      <c r="C26" s="120"/>
      <c r="D26" s="121" t="s">
        <v>22</v>
      </c>
      <c r="E26" s="160" t="e">
        <f>SUM(E21:E25)</f>
        <v>#REF!</v>
      </c>
    </row>
    <row r="27" ht="12.75" hidden="1"/>
    <row r="28" ht="13.5" hidden="1" thickBot="1"/>
    <row r="29" ht="12.75" hidden="1"/>
    <row r="30" ht="12.75" hidden="1"/>
    <row r="31" ht="13.5" hidden="1" thickBot="1"/>
    <row r="32" spans="4:5" ht="24" thickBot="1">
      <c r="D32" s="214" t="s">
        <v>94</v>
      </c>
      <c r="E32" s="81">
        <v>1944</v>
      </c>
    </row>
    <row r="33" spans="4:5" ht="23.25" hidden="1">
      <c r="D33" s="259"/>
      <c r="E33" s="260"/>
    </row>
    <row r="34" spans="4:5" ht="23.25" hidden="1">
      <c r="D34" s="259"/>
      <c r="E34" s="260"/>
    </row>
    <row r="35" ht="12.75" hidden="1"/>
    <row r="36" ht="13.5" hidden="1" thickBot="1"/>
    <row r="37" spans="3:5" ht="21" hidden="1" thickBot="1">
      <c r="C37" s="391" t="s">
        <v>39</v>
      </c>
      <c r="D37" s="392"/>
      <c r="E37" s="50">
        <f>3*E32</f>
        <v>5832</v>
      </c>
    </row>
    <row r="38" spans="4:5" ht="16.5" hidden="1" thickBot="1">
      <c r="D38" s="44" t="s">
        <v>24</v>
      </c>
      <c r="E38" s="45">
        <f>3*E32+1</f>
        <v>5833</v>
      </c>
    </row>
    <row r="39" ht="12.75" hidden="1"/>
    <row r="40" ht="12.75" hidden="1"/>
    <row r="41" ht="12.75" hidden="1"/>
    <row r="42" ht="12.75" hidden="1"/>
    <row r="43" ht="12.75" hidden="1"/>
    <row r="44" ht="13.5" thickBot="1"/>
    <row r="45" spans="3:5" ht="21" thickBot="1">
      <c r="C45" s="386" t="s">
        <v>31</v>
      </c>
      <c r="D45" s="387"/>
      <c r="E45" s="82">
        <v>5519.29</v>
      </c>
    </row>
    <row r="46" spans="3:5" ht="21" hidden="1" thickBot="1">
      <c r="C46" s="303"/>
      <c r="D46" s="301"/>
      <c r="E46" s="82"/>
    </row>
    <row r="47" spans="2:5" ht="21" thickBot="1">
      <c r="B47" s="379" t="s">
        <v>113</v>
      </c>
      <c r="C47" s="380"/>
      <c r="D47" s="381"/>
      <c r="E47" s="302">
        <v>4860</v>
      </c>
    </row>
    <row r="48" ht="12.75" hidden="1"/>
    <row r="49" ht="12.75" hidden="1"/>
    <row r="50" ht="12.75" hidden="1"/>
    <row r="51" ht="12.75" hidden="1"/>
    <row r="52" ht="12.75" hidden="1"/>
    <row r="53" ht="12.75" hidden="1"/>
    <row r="54" ht="12.75" hidden="1"/>
    <row r="55" ht="12.75" hidden="1"/>
    <row r="56" ht="13.5" hidden="1" thickBot="1"/>
    <row r="57" spans="4:5" ht="21" thickBot="1">
      <c r="D57" s="262" t="s">
        <v>52</v>
      </c>
      <c r="E57" s="263">
        <v>59414</v>
      </c>
    </row>
  </sheetData>
  <sheetProtection password="E71E" sheet="1" objects="1" scenarios="1"/>
  <mergeCells count="13">
    <mergeCell ref="B1:F1"/>
    <mergeCell ref="A11:C11"/>
    <mergeCell ref="E11:G11"/>
    <mergeCell ref="B3:D3"/>
    <mergeCell ref="B9:D9"/>
    <mergeCell ref="B8:D8"/>
    <mergeCell ref="B4:D4"/>
    <mergeCell ref="B47:D47"/>
    <mergeCell ref="C15:D15"/>
    <mergeCell ref="C16:D16"/>
    <mergeCell ref="C45:D45"/>
    <mergeCell ref="B18:D18"/>
    <mergeCell ref="C37:D37"/>
  </mergeCells>
  <dataValidations count="7">
    <dataValidation type="whole" allowBlank="1" showInputMessage="1" showErrorMessage="1" promptTitle="B.P.C." prompt="Ingresar el valor de la BASE de PRESTACIONES y CONTRIBUCIONES. Ingresar el valor vigente, decretado por el Poder Ejecutivo. Varía en cada ocación de aumento de salarios a los funcionarios públicos." errorTitle="Dato no válido" error="Ingresar una cifra entera, sin decimales ni puntos ni comas." sqref="E33:E34">
      <formula1>0</formula1>
      <formula2>1000000000000</formula2>
    </dataValidation>
    <dataValidation type="decimal" allowBlank="1" showInputMessage="1" showErrorMessage="1" errorTitle="Dato no válido" error="Debe ingresar un número, sin puntos ni comas. Puede ingresar hasta dos decimales." sqref="E45:E46">
      <formula1>0</formula1>
      <formula2>10000000000000</formula2>
    </dataValidation>
    <dataValidation type="whole" allowBlank="1" showInputMessage="1" showErrorMessage="1" errorTitle="Dato no válido" error="Debe ingresa un número entero, sin puntos ni comas." sqref="E9">
      <formula1>0</formula1>
      <formula2>1000000</formula2>
    </dataValidation>
    <dataValidation type="whole" allowBlank="1" showInputMessage="1" showErrorMessage="1" promptTitle="ATENCION MEDICA MENORES" prompt="Este valor será fijado por el Poder Ejecutivo" errorTitle="Dato no válido" error="Deber ingresar un número entero, sin puntos ni comas." sqref="E5:E6">
      <formula1>0</formula1>
      <formula2>1000000</formula2>
    </dataValidation>
    <dataValidation type="whole" allowBlank="1" showInputMessage="1" showErrorMessage="1" errorTitle="Dato no válido" error="Deber ingresar un número entero, sin puntos ni comas." sqref="E4">
      <formula1>0</formula1>
      <formula2>1000000</formula2>
    </dataValidation>
    <dataValidation type="whole" allowBlank="1" showInputMessage="1" showErrorMessage="1" errorTitle="Dato no válido" error="Ingresar una cifra entera, sin decimales ni puntos ni comas." sqref="E32">
      <formula1>0</formula1>
      <formula2>1000000000000</formula2>
    </dataValidation>
    <dataValidation type="whole" allowBlank="1" showInputMessage="1" showErrorMessage="1" errorTitle="Dato no válido" error="Debe ingesar un número entero, sin decimales, ni puntos, ni comas" sqref="E57">
      <formula1>1</formula1>
      <formula2>100000000000000000</formula2>
    </dataValidation>
  </dataValidations>
  <printOptions/>
  <pageMargins left="0.75" right="0.75" top="1" bottom="1" header="0" footer="0"/>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3:G131"/>
  <sheetViews>
    <sheetView workbookViewId="0" topLeftCell="B3">
      <selection activeCell="J34" sqref="J34"/>
    </sheetView>
  </sheetViews>
  <sheetFormatPr defaultColWidth="11.421875" defaultRowHeight="12.75"/>
  <cols>
    <col min="1" max="1" width="17.00390625" style="0" hidden="1" customWidth="1"/>
    <col min="2" max="2" width="18.140625" style="0" customWidth="1"/>
    <col min="3" max="3" width="15.57421875" style="0" customWidth="1"/>
    <col min="4" max="4" width="17.421875" style="0" customWidth="1"/>
    <col min="5" max="5" width="19.57421875" style="0" customWidth="1"/>
    <col min="6" max="6" width="13.00390625" style="0" customWidth="1"/>
    <col min="7" max="7" width="18.8515625" style="0" customWidth="1"/>
  </cols>
  <sheetData>
    <row r="1" ht="15.75" customHeight="1" hidden="1"/>
    <row r="2" ht="21" customHeight="1" hidden="1" thickBot="1"/>
    <row r="3" spans="3:5" ht="27" thickBot="1" thickTop="1">
      <c r="C3" s="478" t="s">
        <v>27</v>
      </c>
      <c r="D3" s="479"/>
      <c r="E3" s="480"/>
    </row>
    <row r="4" spans="2:7" ht="21.75" thickBot="1" thickTop="1">
      <c r="B4" s="481" t="s">
        <v>33</v>
      </c>
      <c r="C4" s="482"/>
      <c r="D4" s="482"/>
      <c r="E4" s="482"/>
      <c r="F4" s="483"/>
      <c r="G4" s="273"/>
    </row>
    <row r="5" spans="2:7" ht="24" hidden="1" thickBot="1" thickTop="1">
      <c r="B5" s="11"/>
      <c r="C5" s="11"/>
      <c r="D5" s="11"/>
      <c r="E5" s="23"/>
      <c r="F5" s="11"/>
      <c r="G5" s="274"/>
    </row>
    <row r="6" spans="2:7" ht="31.5" customHeight="1" thickBot="1" thickTop="1">
      <c r="B6" s="484" t="s">
        <v>102</v>
      </c>
      <c r="C6" s="485"/>
      <c r="D6" s="485"/>
      <c r="E6" s="485"/>
      <c r="F6" s="486"/>
      <c r="G6" s="275"/>
    </row>
    <row r="7" spans="2:7" ht="31.5" customHeight="1" thickBot="1">
      <c r="B7" s="487" t="s">
        <v>103</v>
      </c>
      <c r="C7" s="488"/>
      <c r="D7" s="488"/>
      <c r="E7" s="488"/>
      <c r="F7" s="489"/>
      <c r="G7" s="276"/>
    </row>
    <row r="8" spans="2:7" ht="31.5" customHeight="1" thickBot="1" thickTop="1">
      <c r="B8" s="466" t="s">
        <v>57</v>
      </c>
      <c r="C8" s="467"/>
      <c r="D8" s="467"/>
      <c r="E8" s="467"/>
      <c r="F8" s="468"/>
      <c r="G8" s="162"/>
    </row>
    <row r="9" spans="1:7" ht="21.75" thickBot="1" thickTop="1">
      <c r="A9" s="293">
        <f>D9+E9+G9</f>
        <v>0</v>
      </c>
      <c r="B9" s="48"/>
      <c r="C9" s="48"/>
      <c r="D9" s="151"/>
      <c r="E9" s="152"/>
      <c r="F9" s="48"/>
      <c r="G9" s="153"/>
    </row>
    <row r="10" spans="2:7" ht="21.75" hidden="1" thickBot="1">
      <c r="B10" s="144"/>
      <c r="C10" s="48"/>
      <c r="D10" s="48"/>
      <c r="E10" s="48"/>
      <c r="F10" s="48"/>
      <c r="G10" s="12"/>
    </row>
    <row r="11" spans="2:7" ht="31.5" customHeight="1" thickBot="1" thickTop="1">
      <c r="B11" s="469" t="s">
        <v>63</v>
      </c>
      <c r="C11" s="470"/>
      <c r="D11" s="470"/>
      <c r="E11" s="470"/>
      <c r="F11" s="471"/>
      <c r="G11" s="162"/>
    </row>
    <row r="12" spans="1:7" ht="21.75" thickBot="1" thickTop="1">
      <c r="A12" s="293">
        <f>B12+C12+D12+E12+F12+G12</f>
        <v>0</v>
      </c>
      <c r="B12" s="141"/>
      <c r="C12" s="140"/>
      <c r="D12" s="141"/>
      <c r="E12" s="140"/>
      <c r="F12" s="142"/>
      <c r="G12" s="131"/>
    </row>
    <row r="13" spans="2:7" ht="26.25" thickBot="1">
      <c r="B13" s="472" t="s">
        <v>27</v>
      </c>
      <c r="C13" s="473"/>
      <c r="D13" s="473"/>
      <c r="E13" s="473"/>
      <c r="F13" s="474"/>
      <c r="G13" s="162"/>
    </row>
    <row r="14" spans="2:7" ht="27" customHeight="1" thickBot="1" thickTop="1">
      <c r="B14" s="475" t="s">
        <v>60</v>
      </c>
      <c r="C14" s="476"/>
      <c r="D14" s="476"/>
      <c r="E14" s="476"/>
      <c r="F14" s="477"/>
      <c r="G14" s="127"/>
    </row>
    <row r="15" spans="2:7" ht="21.75" hidden="1" thickBot="1" thickTop="1">
      <c r="B15" s="145"/>
      <c r="C15" s="277"/>
      <c r="D15" s="277"/>
      <c r="E15" s="277"/>
      <c r="F15" s="277"/>
      <c r="G15" s="128"/>
    </row>
    <row r="16" spans="2:7" ht="27" customHeight="1" thickBot="1" thickTop="1">
      <c r="B16" s="460" t="s">
        <v>61</v>
      </c>
      <c r="C16" s="461"/>
      <c r="D16" s="461"/>
      <c r="E16" s="461"/>
      <c r="F16" s="462"/>
      <c r="G16" s="173"/>
    </row>
    <row r="17" spans="2:7" ht="21.75" hidden="1" thickBot="1" thickTop="1">
      <c r="B17" s="150"/>
      <c r="C17" s="150"/>
      <c r="D17" s="150"/>
      <c r="E17" s="150"/>
      <c r="F17" s="150"/>
      <c r="G17" s="129"/>
    </row>
    <row r="18" spans="2:7" ht="27" thickBot="1" thickTop="1">
      <c r="B18" s="453" t="s">
        <v>27</v>
      </c>
      <c r="C18" s="454"/>
      <c r="D18" s="454"/>
      <c r="E18" s="454"/>
      <c r="F18" s="455"/>
      <c r="G18" s="162"/>
    </row>
    <row r="19" spans="2:7" ht="18" thickBot="1" thickTop="1">
      <c r="B19" s="463" t="s">
        <v>43</v>
      </c>
      <c r="C19" s="464"/>
      <c r="D19" s="464"/>
      <c r="E19" s="464"/>
      <c r="F19" s="465"/>
      <c r="G19" s="163"/>
    </row>
    <row r="20" spans="2:7" ht="28.5" thickBot="1" thickTop="1">
      <c r="B20" s="174" t="s">
        <v>32</v>
      </c>
      <c r="C20" s="175"/>
      <c r="D20" s="26"/>
      <c r="E20" s="177" t="s">
        <v>34</v>
      </c>
      <c r="F20" s="175"/>
      <c r="G20" s="162"/>
    </row>
    <row r="21" spans="2:7" ht="24" thickBot="1" thickTop="1">
      <c r="B21" s="176" t="s">
        <v>55</v>
      </c>
      <c r="C21" s="175"/>
      <c r="D21" s="26"/>
      <c r="E21" s="178" t="s">
        <v>56</v>
      </c>
      <c r="F21" s="175"/>
      <c r="G21" s="162"/>
    </row>
    <row r="22" spans="2:7" ht="21.75" hidden="1" thickBot="1">
      <c r="B22" s="26"/>
      <c r="C22" s="26"/>
      <c r="D22" s="26"/>
      <c r="E22" s="25"/>
      <c r="F22" s="25"/>
      <c r="G22" s="162"/>
    </row>
    <row r="23" spans="2:7" ht="27" hidden="1" thickBot="1" thickTop="1">
      <c r="B23" s="26"/>
      <c r="C23" s="453" t="s">
        <v>28</v>
      </c>
      <c r="D23" s="454"/>
      <c r="E23" s="455"/>
      <c r="F23" s="25"/>
      <c r="G23" s="162"/>
    </row>
    <row r="24" spans="2:7" ht="18" hidden="1" thickBot="1" thickTop="1">
      <c r="B24" s="450" t="s">
        <v>58</v>
      </c>
      <c r="C24" s="451"/>
      <c r="D24" s="451"/>
      <c r="E24" s="451"/>
      <c r="F24" s="451"/>
      <c r="G24" s="452"/>
    </row>
    <row r="25" spans="1:7" ht="22.5" hidden="1" thickBot="1" thickTop="1">
      <c r="A25" s="294">
        <f>D25+E25+G25</f>
        <v>0</v>
      </c>
      <c r="B25" s="19"/>
      <c r="C25" s="19"/>
      <c r="D25" s="146"/>
      <c r="E25" s="147"/>
      <c r="F25" s="19"/>
      <c r="G25" s="147"/>
    </row>
    <row r="26" spans="2:7" ht="25.5" hidden="1" thickBot="1">
      <c r="B26" s="19"/>
      <c r="C26" s="19"/>
      <c r="D26" s="19"/>
      <c r="E26" s="19"/>
      <c r="F26" s="19"/>
      <c r="G26" s="278"/>
    </row>
    <row r="27" spans="2:7" ht="27" hidden="1" thickBot="1" thickTop="1">
      <c r="B27" s="19"/>
      <c r="C27" s="453" t="s">
        <v>29</v>
      </c>
      <c r="D27" s="454"/>
      <c r="E27" s="455"/>
      <c r="F27" s="19"/>
      <c r="G27" s="161"/>
    </row>
    <row r="28" spans="2:7" ht="18" hidden="1" thickBot="1" thickTop="1">
      <c r="B28" s="450" t="s">
        <v>59</v>
      </c>
      <c r="C28" s="451"/>
      <c r="D28" s="451"/>
      <c r="E28" s="451"/>
      <c r="F28" s="451"/>
      <c r="G28" s="452"/>
    </row>
    <row r="29" spans="1:7" ht="22.5" hidden="1" thickBot="1" thickTop="1">
      <c r="A29" s="294">
        <f>D29+E29+G29</f>
        <v>0</v>
      </c>
      <c r="B29" s="19"/>
      <c r="C29" s="19"/>
      <c r="D29" s="148"/>
      <c r="E29" s="148"/>
      <c r="F29" s="139"/>
      <c r="G29" s="148"/>
    </row>
    <row r="30" spans="2:7" ht="17.25" hidden="1" thickBot="1">
      <c r="B30" s="25"/>
      <c r="C30" s="25"/>
      <c r="D30" s="25"/>
      <c r="E30" s="25"/>
      <c r="F30" s="24"/>
      <c r="G30" s="24"/>
    </row>
    <row r="31" spans="2:7" ht="24.75" thickBot="1" thickTop="1">
      <c r="B31" s="456" t="s">
        <v>104</v>
      </c>
      <c r="C31" s="457"/>
      <c r="D31" s="457"/>
      <c r="E31" s="458"/>
      <c r="F31" s="459"/>
      <c r="G31" s="459"/>
    </row>
    <row r="32" spans="2:7" ht="17.25" thickBot="1" thickTop="1">
      <c r="B32" s="154" t="s">
        <v>5</v>
      </c>
      <c r="C32" s="154" t="s">
        <v>8</v>
      </c>
      <c r="D32" s="155" t="s">
        <v>9</v>
      </c>
      <c r="E32" s="154" t="s">
        <v>88</v>
      </c>
      <c r="F32" s="51"/>
      <c r="G32" s="130" t="s">
        <v>5</v>
      </c>
    </row>
    <row r="33" spans="1:7" ht="16.5" thickBot="1">
      <c r="A33">
        <f>G33</f>
        <v>13608</v>
      </c>
      <c r="B33" s="60" t="s">
        <v>105</v>
      </c>
      <c r="C33" s="61">
        <f>G33</f>
        <v>13608</v>
      </c>
      <c r="D33" s="62">
        <v>0</v>
      </c>
      <c r="E33" s="63">
        <f aca="true" t="shared" si="0" ref="E33:E38">C33*D33</f>
        <v>0</v>
      </c>
      <c r="G33" s="55">
        <f>7*Parámetros!E32</f>
        <v>13608</v>
      </c>
    </row>
    <row r="34" spans="1:7" ht="16.5" thickBot="1">
      <c r="A34">
        <f>IF(C52&gt;=G34,G34-G33,C52-G33)</f>
        <v>-13608</v>
      </c>
      <c r="B34" s="64" t="s">
        <v>106</v>
      </c>
      <c r="C34" s="65">
        <f>IF(A34&lt;=0,0,A34)</f>
        <v>0</v>
      </c>
      <c r="D34" s="66">
        <v>0.1</v>
      </c>
      <c r="E34" s="67">
        <f t="shared" si="0"/>
        <v>0</v>
      </c>
      <c r="G34" s="56">
        <f>10*Parámetros!E32</f>
        <v>19440</v>
      </c>
    </row>
    <row r="35" spans="1:7" ht="16.5" thickBot="1">
      <c r="A35">
        <f>IF(C52&gt;=G35,G35-G34,C52-G34)</f>
        <v>-19440</v>
      </c>
      <c r="B35" s="68" t="s">
        <v>3</v>
      </c>
      <c r="C35" s="69">
        <f>IF(A35&lt;=0,0,A35)</f>
        <v>0</v>
      </c>
      <c r="D35" s="70">
        <v>0.15</v>
      </c>
      <c r="E35" s="71">
        <f t="shared" si="0"/>
        <v>0</v>
      </c>
      <c r="G35" s="57">
        <f>15*Parámetros!E32</f>
        <v>29160</v>
      </c>
    </row>
    <row r="36" spans="1:7" ht="16.5" thickBot="1">
      <c r="A36">
        <f>IF(C52&gt;=G36,G36-G35,C52-G35)</f>
        <v>-29160</v>
      </c>
      <c r="B36" s="72" t="s">
        <v>13</v>
      </c>
      <c r="C36" s="73">
        <f>IF(A36&lt;=0,0,A36)</f>
        <v>0</v>
      </c>
      <c r="D36" s="74">
        <v>0.2</v>
      </c>
      <c r="E36" s="75">
        <f t="shared" si="0"/>
        <v>0</v>
      </c>
      <c r="G36" s="58">
        <f>50*Parámetros!E32</f>
        <v>97200</v>
      </c>
    </row>
    <row r="37" spans="1:7" ht="16.5" thickBot="1">
      <c r="A37">
        <f>IF(C52&gt;=G37,G37-G36,C52-G36)</f>
        <v>-97200</v>
      </c>
      <c r="B37" s="76" t="s">
        <v>14</v>
      </c>
      <c r="C37" s="77">
        <f>IF(A37&lt;=0,0,A37)</f>
        <v>0</v>
      </c>
      <c r="D37" s="78">
        <v>0.22</v>
      </c>
      <c r="E37" s="79">
        <f t="shared" si="0"/>
        <v>0</v>
      </c>
      <c r="G37" s="59">
        <f>100*Parámetros!E32</f>
        <v>194400</v>
      </c>
    </row>
    <row r="38" spans="1:5" ht="16.5" thickBot="1">
      <c r="A38">
        <f>IF(C52&gt;G37,C52-G37,0)</f>
        <v>0</v>
      </c>
      <c r="B38" s="80" t="s">
        <v>15</v>
      </c>
      <c r="C38" s="279">
        <f>IF(A38&lt;=0,0,A38)</f>
        <v>0</v>
      </c>
      <c r="D38" s="280">
        <v>0.25</v>
      </c>
      <c r="E38" s="149">
        <f t="shared" si="0"/>
        <v>0</v>
      </c>
    </row>
    <row r="39" spans="3:7" ht="21.75" thickBot="1" thickTop="1">
      <c r="C39" s="442" t="s">
        <v>40</v>
      </c>
      <c r="D39" s="443"/>
      <c r="E39" s="281">
        <f>SUM(E34:E38)</f>
        <v>0</v>
      </c>
      <c r="F39" s="444"/>
      <c r="G39" s="444"/>
    </row>
    <row r="40" spans="3:7" ht="23.25" hidden="1" thickBot="1" thickTop="1">
      <c r="C40" s="283"/>
      <c r="D40" s="283"/>
      <c r="E40" s="284"/>
      <c r="F40" s="282"/>
      <c r="G40" s="282"/>
    </row>
    <row r="41" spans="2:7" ht="34.5" thickBot="1" thickTop="1">
      <c r="B41" s="445" t="s">
        <v>107</v>
      </c>
      <c r="C41" s="446"/>
      <c r="D41" s="446"/>
      <c r="E41" s="447"/>
      <c r="F41" s="448">
        <f>C51</f>
        <v>0</v>
      </c>
      <c r="G41" s="449"/>
    </row>
    <row r="42" spans="2:7" ht="21.75" hidden="1">
      <c r="B42" s="285"/>
      <c r="C42" s="286" t="s">
        <v>108</v>
      </c>
      <c r="D42" s="286"/>
      <c r="E42" s="287"/>
      <c r="F42" s="288"/>
      <c r="G42" s="288"/>
    </row>
    <row r="43" spans="3:7" ht="22.5" hidden="1" thickBot="1">
      <c r="C43" s="283"/>
      <c r="D43" s="283"/>
      <c r="E43" s="284"/>
      <c r="F43" s="282"/>
      <c r="G43" s="282"/>
    </row>
    <row r="44" spans="2:7" ht="39" thickBot="1" thickTop="1">
      <c r="B44" s="289" t="s">
        <v>104</v>
      </c>
      <c r="C44" s="433">
        <f>IF(E39-C119&lt;0,0,E39-C119)</f>
        <v>0</v>
      </c>
      <c r="D44" s="434"/>
      <c r="E44" s="290" t="s">
        <v>109</v>
      </c>
      <c r="F44" s="435">
        <f>C50</f>
        <v>0</v>
      </c>
      <c r="G44" s="436"/>
    </row>
    <row r="45" spans="6:7" ht="19.5" hidden="1" thickBot="1" thickTop="1">
      <c r="F45" s="27"/>
      <c r="G45" s="22"/>
    </row>
    <row r="46" spans="2:7" ht="42.75" hidden="1" thickBot="1" thickTop="1">
      <c r="B46" s="437" t="s">
        <v>30</v>
      </c>
      <c r="C46" s="438"/>
      <c r="D46" s="438"/>
      <c r="E46" s="439"/>
      <c r="F46" s="440" t="e">
        <f>E44-C55</f>
        <v>#VALUE!</v>
      </c>
      <c r="G46" s="441"/>
    </row>
    <row r="47" spans="3:7" ht="14.25" hidden="1" thickBot="1" thickTop="1">
      <c r="C47" s="1"/>
      <c r="G47" s="3"/>
    </row>
    <row r="48" spans="2:3" ht="16.5" hidden="1" thickBot="1">
      <c r="B48" s="41" t="s">
        <v>37</v>
      </c>
      <c r="C48" s="42">
        <f>IF(A12&gt;0,A12*0.125%,0)</f>
        <v>0</v>
      </c>
    </row>
    <row r="49" spans="2:6" ht="16.5" hidden="1" thickBot="1">
      <c r="B49" s="38" t="s">
        <v>120</v>
      </c>
      <c r="C49" s="40">
        <f>IF(A9&lt;=0,A12,A12+A9)</f>
        <v>0</v>
      </c>
      <c r="E49" s="428" t="s">
        <v>7</v>
      </c>
      <c r="F49" s="429"/>
    </row>
    <row r="50" spans="2:7" ht="16.5" hidden="1" thickBot="1">
      <c r="B50" s="39" t="s">
        <v>109</v>
      </c>
      <c r="C50" s="43">
        <f>IF(C49&lt;=G55,C49*3%,IF(G6&gt;0,C49*6%,C49*4.5%))</f>
        <v>0</v>
      </c>
      <c r="D50" s="172" t="s">
        <v>62</v>
      </c>
      <c r="E50" s="6">
        <v>0</v>
      </c>
      <c r="F50" s="20">
        <f>3*F55</f>
        <v>5832</v>
      </c>
      <c r="G50" s="168">
        <f>(F50+2)*1.02</f>
        <v>5950.68</v>
      </c>
    </row>
    <row r="51" spans="2:7" ht="16.5" hidden="1" thickBot="1">
      <c r="B51" s="96" t="s">
        <v>0</v>
      </c>
      <c r="C51" s="97">
        <f>E94</f>
        <v>0</v>
      </c>
      <c r="D51" s="42">
        <f>C51+C50+C48</f>
        <v>0</v>
      </c>
      <c r="E51" s="7">
        <v>0.02</v>
      </c>
      <c r="F51" s="21">
        <f>6*F55</f>
        <v>11664</v>
      </c>
      <c r="G51" s="168">
        <f>(F51+35)*1.06</f>
        <v>12400.94</v>
      </c>
    </row>
    <row r="52" spans="2:7" ht="16.5" hidden="1" thickBot="1">
      <c r="B52" s="90" t="s">
        <v>121</v>
      </c>
      <c r="C52" s="91">
        <f>G4</f>
        <v>0</v>
      </c>
      <c r="E52" s="8">
        <v>0.06</v>
      </c>
      <c r="F52" s="171">
        <f>(F55*6)+1</f>
        <v>11665</v>
      </c>
      <c r="G52" s="168">
        <f>(F51+4)*1.02</f>
        <v>11901.36</v>
      </c>
    </row>
    <row r="53" spans="2:7" ht="16.5" hidden="1" thickBot="1">
      <c r="B53" s="92" t="s">
        <v>41</v>
      </c>
      <c r="C53" s="93">
        <f>A25</f>
        <v>0</v>
      </c>
      <c r="E53" s="169"/>
      <c r="F53" s="170"/>
      <c r="G53" s="1"/>
    </row>
    <row r="54" spans="2:7" ht="16.5" hidden="1" thickBot="1">
      <c r="B54" s="94" t="s">
        <v>42</v>
      </c>
      <c r="C54" s="95">
        <f>A29</f>
        <v>0</v>
      </c>
      <c r="D54" s="291">
        <f>C53+C54</f>
        <v>0</v>
      </c>
      <c r="F54" s="2"/>
      <c r="G54" s="291" t="s">
        <v>110</v>
      </c>
    </row>
    <row r="55" spans="2:7" ht="21" hidden="1" thickBot="1">
      <c r="B55" s="98" t="s">
        <v>36</v>
      </c>
      <c r="C55" s="99" t="e">
        <f>#REF!+F44</f>
        <v>#REF!</v>
      </c>
      <c r="E55" s="35" t="s">
        <v>4</v>
      </c>
      <c r="F55" s="89">
        <f>Parámetros!E32</f>
        <v>1944</v>
      </c>
      <c r="G55" s="292">
        <f>2.5*F55</f>
        <v>4860</v>
      </c>
    </row>
    <row r="56" spans="2:3" ht="18.75" hidden="1" thickBot="1">
      <c r="B56" s="158" t="s">
        <v>54</v>
      </c>
      <c r="C56" s="159">
        <f>C48+C50+C51</f>
        <v>0</v>
      </c>
    </row>
    <row r="57" ht="13.5" hidden="1" thickBot="1"/>
    <row r="58" spans="2:5" ht="18.75" hidden="1" thickBot="1">
      <c r="B58" s="374" t="s">
        <v>12</v>
      </c>
      <c r="C58" s="375"/>
      <c r="D58" s="375"/>
      <c r="E58" s="376"/>
    </row>
    <row r="59" spans="2:7" ht="15.75" hidden="1" thickBot="1">
      <c r="B59" s="10" t="s">
        <v>5</v>
      </c>
      <c r="C59" s="9" t="s">
        <v>8</v>
      </c>
      <c r="D59" s="10" t="s">
        <v>9</v>
      </c>
      <c r="E59" s="10" t="s">
        <v>88</v>
      </c>
      <c r="G59" s="165"/>
    </row>
    <row r="60" spans="1:7" ht="12.75" hidden="1">
      <c r="A60">
        <f>G60</f>
        <v>15552</v>
      </c>
      <c r="B60" s="28" t="s">
        <v>111</v>
      </c>
      <c r="C60" s="13">
        <f>'[1]DEDUCCIONES'!D29*5</f>
        <v>0</v>
      </c>
      <c r="D60" s="4">
        <v>0</v>
      </c>
      <c r="E60" s="16">
        <f>C60*D60</f>
        <v>0</v>
      </c>
      <c r="G60" s="298">
        <f>8*Parámetros!E32</f>
        <v>15552</v>
      </c>
    </row>
    <row r="61" spans="1:7" ht="12.75" hidden="1">
      <c r="A61">
        <f>IF(D54&gt;=G61,G60,D54-G60)</f>
        <v>-15552</v>
      </c>
      <c r="B61" s="29" t="s">
        <v>112</v>
      </c>
      <c r="C61" s="14">
        <f>IF(A36&lt;=0,0,A36)</f>
        <v>0</v>
      </c>
      <c r="D61" s="5">
        <v>0.1</v>
      </c>
      <c r="E61" s="17">
        <f>C61*D61</f>
        <v>0</v>
      </c>
      <c r="G61" s="299">
        <f>15*Parámetros!E32</f>
        <v>29160</v>
      </c>
    </row>
    <row r="62" spans="1:7" ht="13.5" hidden="1" thickBot="1">
      <c r="A62">
        <f>IF(D54&gt;=G62,G60,D54-G61)</f>
        <v>-29160</v>
      </c>
      <c r="B62" s="29" t="s">
        <v>16</v>
      </c>
      <c r="C62" s="15">
        <f>IF(A37&lt;=0,0,A37)</f>
        <v>0</v>
      </c>
      <c r="D62" s="5">
        <v>0.15</v>
      </c>
      <c r="E62" s="17">
        <f>C62*D62</f>
        <v>0</v>
      </c>
      <c r="G62" s="300">
        <f>50*Parámetros!E32</f>
        <v>97200</v>
      </c>
    </row>
    <row r="63" spans="1:7" ht="13.5" hidden="1" thickBot="1">
      <c r="A63">
        <f>IF(D54&gt;G62,D54-G62,0)</f>
        <v>0</v>
      </c>
      <c r="B63" s="30" t="s">
        <v>17</v>
      </c>
      <c r="C63" s="31">
        <f>IF(A38&lt;=0,0,A38)</f>
        <v>0</v>
      </c>
      <c r="D63" s="32">
        <v>0.25</v>
      </c>
      <c r="E63" s="33">
        <f>C63*D63</f>
        <v>0</v>
      </c>
      <c r="G63" s="166"/>
    </row>
    <row r="64" spans="3:7" ht="18.75" hidden="1" thickBot="1">
      <c r="C64" s="374" t="s">
        <v>6</v>
      </c>
      <c r="D64" s="376"/>
      <c r="E64" s="18">
        <f>SUM(E61:E62)</f>
        <v>0</v>
      </c>
      <c r="G64" s="166"/>
    </row>
    <row r="65" spans="3:7" s="295" customFormat="1" ht="12.75" hidden="1">
      <c r="C65" s="27"/>
      <c r="D65" s="27"/>
      <c r="E65" s="296"/>
      <c r="G65" s="297"/>
    </row>
    <row r="66" spans="3:7" s="295" customFormat="1" ht="12.75" hidden="1">
      <c r="C66" s="27"/>
      <c r="D66" s="27"/>
      <c r="E66" s="296"/>
      <c r="G66" s="297"/>
    </row>
    <row r="67" ht="12.75" hidden="1">
      <c r="G67" s="27"/>
    </row>
    <row r="68" ht="12.75" hidden="1">
      <c r="G68" s="27"/>
    </row>
    <row r="69" ht="13.5" hidden="1" thickBot="1">
      <c r="G69" s="166"/>
    </row>
    <row r="70" spans="2:7" ht="16.5" hidden="1" thickBot="1">
      <c r="B70" s="135" t="s">
        <v>44</v>
      </c>
      <c r="C70" s="136"/>
      <c r="D70" s="137"/>
      <c r="G70" s="167"/>
    </row>
    <row r="71" ht="13.5" hidden="1" thickBot="1">
      <c r="C71" s="132"/>
    </row>
    <row r="72" spans="3:7" ht="13.5" hidden="1" thickBot="1">
      <c r="C72" s="264">
        <f>IF(B12&gt;G51,B12*6%,(IF(B12&lt;=F50,0,IF(AND(B12&gt;F50,B12&lt;=G50),B12*2%-(F50-(B12-(B12*2%))),IF(AND(B12&gt;F51,B12&lt;=G51),B12*6%-(I51-(B12-(B12*6%))),B12*2%)))))</f>
        <v>0</v>
      </c>
      <c r="E72" s="133" t="s">
        <v>46</v>
      </c>
      <c r="G72" s="164"/>
    </row>
    <row r="73" spans="3:7" ht="16.5" hidden="1" thickBot="1">
      <c r="C73" s="264">
        <f>IF(C12&gt;G51,C12*6%,(IF(C12&lt;=F50,0,IF(AND(C12&gt;F50,C12&lt;=G50),C12*2%-(F50-(C12-(C12*2%))),IF(AND(C12&gt;F51,C12&lt;=G51),C12*6%-(I51-(C12-(C12*6%))),C12*2%)))))</f>
        <v>0</v>
      </c>
      <c r="E73" s="93">
        <f>IF(G25&gt;G52,G25*2%,(IF(G25&lt;=F51,0,G25-F51)))+IF(E25&gt;G52,E25*2%,(IF(E25&lt;=F51,0,E25-F51)))+IF(D25&gt;G52,D25*2%,(IF(D25&lt;=F51,0,D25-F51)))</f>
        <v>0</v>
      </c>
      <c r="G73" s="164"/>
    </row>
    <row r="74" spans="3:7" ht="13.5" hidden="1" thickBot="1">
      <c r="C74" s="264">
        <f>IF(D12&gt;G51,D12*6%,(IF(D12&lt;=F50,0,IF(AND(D12&gt;F50,D12&lt;=G50),D12*2%-(F50-(D12-(D12*2%))),IF(AND(D12&gt;F51,D12&lt;=G51),D12*6%-(I51-(D12-(D12*6%))),D12*2%)))))</f>
        <v>0</v>
      </c>
      <c r="G74" s="164"/>
    </row>
    <row r="75" spans="3:5" ht="13.5" hidden="1" thickBot="1">
      <c r="C75" s="264">
        <f>IF(E12&gt;G51,E12*6%,(IF(E12&lt;=F50,0,IF(AND(E12&gt;F50,E12&lt;=G50),E12*2%-(F50-(E12-(E12*2%))),IF(AND(E12&gt;F51,E12&lt;=G51),E12*6%-(I51-(E12-(E12*6%))),E12*2%)))))</f>
        <v>0</v>
      </c>
      <c r="E75" s="134" t="s">
        <v>47</v>
      </c>
    </row>
    <row r="76" spans="3:7" ht="16.5" hidden="1" thickBot="1">
      <c r="C76" s="264">
        <f>IF(F12&gt;G51,F12*6%,(IF(F12&lt;=F50,0,IF(AND(F12&gt;F50,F12&lt;=G50),F12*2%-(F50-(F12-(F12*2%))),IF(AND(F12&gt;F51,F12&lt;=G51),F12*6%-(I51-(F12-(F12*6%))),F12*2%)))))</f>
        <v>0</v>
      </c>
      <c r="E76" s="270">
        <f>IF(G29&gt;G52,G29*2%,(IF(G29&lt;=F51,0,G29-F51)))+IF(E29&gt;G52,E29*2%,(IF(E29&lt;=F51,0,E29-F51)))+IF(D29&gt;G52,D29*2%,(IF(D29&lt;=F51,0,D29-F51)))</f>
        <v>0</v>
      </c>
      <c r="G76" s="164"/>
    </row>
    <row r="77" ht="13.5" hidden="1" thickBot="1">
      <c r="C77" s="264">
        <f>IF(G12&gt;G51,G12*6%,(IF(G12&lt;=F50,0,IF(AND(G12&gt;F50,G12&lt;=G50),G12*2%-(F50-(G12-(G12*2%))),IF(AND(G12&gt;F51,G12&lt;=G51),G12*6%-(I51-(G12-(G12*6%))),G12*2%)))))</f>
        <v>0</v>
      </c>
    </row>
    <row r="78" spans="2:3" ht="18.75" hidden="1" thickBot="1">
      <c r="B78" s="138" t="s">
        <v>45</v>
      </c>
      <c r="C78" s="265">
        <f>SUM(C72:C77)</f>
        <v>0</v>
      </c>
    </row>
    <row r="79" ht="13.5" hidden="1" thickBot="1"/>
    <row r="80" spans="2:4" ht="16.5" hidden="1" thickBot="1">
      <c r="B80" s="430" t="s">
        <v>48</v>
      </c>
      <c r="C80" s="431"/>
      <c r="D80" s="432"/>
    </row>
    <row r="81" ht="12.75" hidden="1">
      <c r="C81" s="266">
        <f>IF(G9&gt;G51,G9*6%,(IF(G9&lt;=F50,0,IF(AND(G9&gt;F50,G9&lt;=G50),G9*2%-(F50-(G9-(G9*2%))),IF(AND(G9&gt;F51,G9&lt;=G51),G9*6%-(I51-(G9-(G9*6%))),G9*2%)))))</f>
        <v>0</v>
      </c>
    </row>
    <row r="82" ht="12.75" hidden="1">
      <c r="C82" s="267">
        <f>IF(E9&gt;G51,E9*6%,(IF(E9&lt;=F50,0,IF(AND(E9&gt;F50,E9&lt;=G50),E9*2%-(F50-(E9-(E9*2%))),IF(AND(E9&gt;F51,E9&lt;=G51),E9*6%-(I51-(E9-(E9*6%))),E9*2%)))))</f>
        <v>0</v>
      </c>
    </row>
    <row r="83" ht="13.5" hidden="1" thickBot="1">
      <c r="C83" s="268">
        <f>IF(D9&gt;G51,D9*6%,(IF(D9&lt;=F50,0,IF(AND(D9&gt;F50,D9&lt;=G50),D9*2%-(F50-(D9-(D9*2%))),IF(AND(D9&gt;F51,D9&lt;=G51),D9*6%-(I51-(D9-(D9*6%))),D9*2%)))))</f>
        <v>0</v>
      </c>
    </row>
    <row r="84" spans="2:3" ht="18.75" hidden="1" thickBot="1">
      <c r="B84" s="143" t="s">
        <v>45</v>
      </c>
      <c r="C84" s="269">
        <f>SUM(C81:C83)</f>
        <v>0</v>
      </c>
    </row>
    <row r="85" ht="12.75" hidden="1"/>
    <row r="86" ht="12.75" hidden="1"/>
    <row r="87" ht="12.75" hidden="1"/>
    <row r="88" ht="13.5" hidden="1" thickBot="1"/>
    <row r="89" spans="3:5" ht="13.5" hidden="1" thickBot="1">
      <c r="C89" s="418" t="s">
        <v>49</v>
      </c>
      <c r="D89" s="419"/>
      <c r="E89" s="86">
        <f>Parámetros!E57</f>
        <v>59414</v>
      </c>
    </row>
    <row r="90" ht="13.5" hidden="1" thickBot="1"/>
    <row r="91" spans="4:5" ht="16.5" hidden="1" thickBot="1">
      <c r="D91" s="85" t="s">
        <v>50</v>
      </c>
      <c r="E91" s="156">
        <f>C49*15%</f>
        <v>0</v>
      </c>
    </row>
    <row r="92" spans="4:5" ht="16.5" hidden="1" thickBot="1">
      <c r="D92" s="85" t="s">
        <v>51</v>
      </c>
      <c r="E92" s="156">
        <f>IF(C49&lt;=E89,C49*15%,E89*15%)</f>
        <v>0</v>
      </c>
    </row>
    <row r="93" ht="13.5" hidden="1" thickBot="1">
      <c r="E93" s="1"/>
    </row>
    <row r="94" spans="4:5" ht="18.75" hidden="1" thickBot="1">
      <c r="D94" s="85" t="s">
        <v>53</v>
      </c>
      <c r="E94" s="157">
        <f>IF(G7=1,E92,E91)</f>
        <v>0</v>
      </c>
    </row>
    <row r="95" ht="13.5" hidden="1" thickBot="1"/>
    <row r="96" spans="2:7" ht="27.75" hidden="1" thickBot="1" thickTop="1">
      <c r="B96" s="420" t="s">
        <v>22</v>
      </c>
      <c r="C96" s="421"/>
      <c r="D96" s="421"/>
      <c r="E96" s="421"/>
      <c r="F96" s="421"/>
      <c r="G96" s="184">
        <f>C119</f>
        <v>0</v>
      </c>
    </row>
    <row r="97" ht="13.5" hidden="1" thickBot="1"/>
    <row r="98" spans="2:4" ht="21" hidden="1" thickBot="1">
      <c r="B98" s="397" t="s">
        <v>11</v>
      </c>
      <c r="C98" s="398"/>
      <c r="D98" s="399"/>
    </row>
    <row r="99" spans="2:5" ht="18.75" hidden="1" thickBot="1">
      <c r="B99" s="422" t="s">
        <v>64</v>
      </c>
      <c r="C99" s="423"/>
      <c r="D99" s="424"/>
      <c r="E99" s="215">
        <f>Parámetros!E4</f>
        <v>2106</v>
      </c>
    </row>
    <row r="100" ht="13.5" hidden="1" thickBot="1"/>
    <row r="101" spans="2:4" ht="21" hidden="1" thickBot="1">
      <c r="B101" s="403" t="s">
        <v>11</v>
      </c>
      <c r="C101" s="404"/>
      <c r="D101" s="405"/>
    </row>
    <row r="102" spans="2:5" ht="18.75" hidden="1" thickBot="1">
      <c r="B102" s="425" t="s">
        <v>114</v>
      </c>
      <c r="C102" s="426"/>
      <c r="D102" s="427"/>
      <c r="E102" s="126">
        <f>Parámetros!E9</f>
        <v>4212</v>
      </c>
    </row>
    <row r="103" ht="13.5" hidden="1" thickBot="1"/>
    <row r="104" spans="1:7" ht="16.5" hidden="1" thickBot="1">
      <c r="A104" s="382" t="s">
        <v>23</v>
      </c>
      <c r="B104" s="396"/>
      <c r="C104" s="383"/>
      <c r="E104" s="382" t="s">
        <v>25</v>
      </c>
      <c r="F104" s="396"/>
      <c r="G104" s="383"/>
    </row>
    <row r="105" spans="2:6" ht="18.75" hidden="1" thickBot="1">
      <c r="B105" s="46">
        <f>IF(G5=0,0,(E94+C50+C48+(C20/12)+(F20/12)+C21+F21+(G14*E99)+(G16*E102)))</f>
        <v>0</v>
      </c>
      <c r="E105" s="84">
        <f>IF(A25&gt;E128,A25*1%,A25*3%)</f>
        <v>0</v>
      </c>
      <c r="F105" s="49">
        <f>IF(A25&lt;=0,0,IF(AND(A29&lt;=0,B105&lt;=0),F108,IF(AND(A29&lt;=0,E105&gt;0),E102+E105,F108)))</f>
        <v>0</v>
      </c>
    </row>
    <row r="106" spans="2:6" ht="18.75" hidden="1" thickBot="1">
      <c r="B106" s="87"/>
      <c r="E106" s="88"/>
      <c r="F106" s="49"/>
    </row>
    <row r="107" ht="13.5" hidden="1" thickBot="1"/>
    <row r="108" spans="1:6" ht="16.5" hidden="1" thickBot="1">
      <c r="A108" s="83"/>
      <c r="C108" s="382" t="s">
        <v>26</v>
      </c>
      <c r="D108" s="383"/>
      <c r="E108" s="85">
        <f>IF(G5&lt;=0,(C20/12)+(F20/12)+C21+F21+G14*E99+G16*E102,0)</f>
        <v>0</v>
      </c>
      <c r="F108" s="86">
        <f>E108+E105+E102</f>
        <v>4212</v>
      </c>
    </row>
    <row r="109" spans="3:4" ht="21" hidden="1" thickBot="1">
      <c r="C109" s="384">
        <f>IF(A29&lt;=0,0,IF(AND(A25&lt;=0,B105&lt;=0),F108,IF(AND(A25&lt;=0,B105&gt;0),F108,0)))</f>
        <v>0</v>
      </c>
      <c r="D109" s="385"/>
    </row>
    <row r="110" spans="3:4" ht="21" hidden="1" thickBot="1">
      <c r="C110" s="36"/>
      <c r="D110" s="36"/>
    </row>
    <row r="111" spans="2:5" ht="24" hidden="1" thickBot="1">
      <c r="B111" s="388" t="s">
        <v>35</v>
      </c>
      <c r="C111" s="389"/>
      <c r="D111" s="390"/>
      <c r="E111" s="47">
        <f>B105</f>
        <v>0</v>
      </c>
    </row>
    <row r="112" ht="13.5" hidden="1" thickBot="1"/>
    <row r="113" spans="2:7" ht="13.5" hidden="1" thickBot="1">
      <c r="B113" s="41" t="s">
        <v>5</v>
      </c>
      <c r="C113" s="52" t="s">
        <v>18</v>
      </c>
      <c r="D113" s="41" t="s">
        <v>9</v>
      </c>
      <c r="E113" s="53" t="s">
        <v>88</v>
      </c>
      <c r="G113" s="54" t="s">
        <v>5</v>
      </c>
    </row>
    <row r="114" spans="1:7" ht="15" hidden="1">
      <c r="A114" s="37">
        <f>IF(E111&lt;=G114,E111,G114)</f>
        <v>0</v>
      </c>
      <c r="B114" s="100" t="s">
        <v>115</v>
      </c>
      <c r="C114" s="101">
        <f>IF(A114&lt;=0,0,A114)</f>
        <v>0</v>
      </c>
      <c r="D114" s="102">
        <v>0.1</v>
      </c>
      <c r="E114" s="103">
        <f>C114*D114</f>
        <v>0</v>
      </c>
      <c r="G114" s="122">
        <f>3*Parámetros!E32</f>
        <v>5832</v>
      </c>
    </row>
    <row r="115" spans="1:7" ht="15" hidden="1">
      <c r="A115" s="37">
        <f>IF(E111&gt;=G115,G115-G114,E111-G114)</f>
        <v>-5832</v>
      </c>
      <c r="B115" s="104" t="s">
        <v>116</v>
      </c>
      <c r="C115" s="105">
        <f>IF(A115&lt;=0,0,A115)</f>
        <v>0</v>
      </c>
      <c r="D115" s="106">
        <v>0.15</v>
      </c>
      <c r="E115" s="107">
        <f>C115*D115</f>
        <v>0</v>
      </c>
      <c r="G115" s="123">
        <f>8*Parámetros!E32</f>
        <v>15552</v>
      </c>
    </row>
    <row r="116" spans="1:7" ht="15" hidden="1">
      <c r="A116" s="37">
        <f>IF(E111&gt;=G116,G116-G115,E111-G115)</f>
        <v>-15552</v>
      </c>
      <c r="B116" s="108" t="s">
        <v>117</v>
      </c>
      <c r="C116" s="109">
        <f>IF(A116&lt;=0,0,A116)</f>
        <v>0</v>
      </c>
      <c r="D116" s="110">
        <v>0.2</v>
      </c>
      <c r="E116" s="111">
        <f>C116*D116</f>
        <v>0</v>
      </c>
      <c r="G116" s="124">
        <f>43*Parámetros!E32</f>
        <v>83592</v>
      </c>
    </row>
    <row r="117" spans="1:7" ht="15.75" hidden="1" thickBot="1">
      <c r="A117" s="37">
        <f>IF(E111&gt;=G117,G117-G116,E111-G116)</f>
        <v>-83592</v>
      </c>
      <c r="B117" s="112" t="s">
        <v>118</v>
      </c>
      <c r="C117" s="113">
        <f>IF(A117&lt;=0,0,A117)</f>
        <v>0</v>
      </c>
      <c r="D117" s="114">
        <v>0.22</v>
      </c>
      <c r="E117" s="115">
        <f>C117*D117</f>
        <v>0</v>
      </c>
      <c r="G117" s="125">
        <f>93*Parámetros!E32</f>
        <v>180792</v>
      </c>
    </row>
    <row r="118" spans="1:5" ht="15.75" hidden="1" thickBot="1">
      <c r="A118" s="37">
        <f>IF(E111&gt;G117,E111-G117,0)</f>
        <v>0</v>
      </c>
      <c r="B118" s="116" t="s">
        <v>119</v>
      </c>
      <c r="C118" s="117">
        <f>IF(A118&lt;=0,0,A118)</f>
        <v>0</v>
      </c>
      <c r="D118" s="182">
        <v>0.25</v>
      </c>
      <c r="E118" s="183">
        <f>C118*D118</f>
        <v>0</v>
      </c>
    </row>
    <row r="119" spans="2:5" ht="27" hidden="1" thickBot="1">
      <c r="B119" s="120"/>
      <c r="C119" s="411">
        <f>SUM(E114:E118)</f>
        <v>0</v>
      </c>
      <c r="D119" s="412"/>
      <c r="E119" s="413"/>
    </row>
    <row r="120" ht="12.75" hidden="1"/>
    <row r="121" ht="13.5" hidden="1" thickBot="1"/>
    <row r="122" spans="4:5" ht="24" hidden="1" thickBot="1">
      <c r="D122" s="34" t="s">
        <v>4</v>
      </c>
      <c r="E122" s="81">
        <f>Parámetros!E32</f>
        <v>1944</v>
      </c>
    </row>
    <row r="123" ht="12.75" hidden="1"/>
    <row r="124" ht="13.5" hidden="1" thickBot="1"/>
    <row r="125" spans="3:5" ht="21" hidden="1" thickBot="1">
      <c r="C125" s="391" t="s">
        <v>39</v>
      </c>
      <c r="D125" s="392"/>
      <c r="E125" s="50">
        <f>3*E122</f>
        <v>5832</v>
      </c>
    </row>
    <row r="126" spans="3:5" ht="16.5" hidden="1" thickBot="1">
      <c r="C126" s="414" t="s">
        <v>24</v>
      </c>
      <c r="D126" s="415"/>
      <c r="E126" s="45">
        <f>3*E122+1</f>
        <v>5833</v>
      </c>
    </row>
    <row r="127" ht="13.5" hidden="1" thickBot="1"/>
    <row r="128" spans="3:5" ht="21" hidden="1" thickBot="1">
      <c r="C128" s="416" t="s">
        <v>31</v>
      </c>
      <c r="D128" s="417"/>
      <c r="E128" s="82">
        <f>Parámetros!E45</f>
        <v>5519.29</v>
      </c>
    </row>
    <row r="129" ht="12.75" hidden="1"/>
    <row r="130" ht="13.5" hidden="1" thickBot="1"/>
    <row r="131" spans="3:5" ht="21.75" hidden="1" thickBot="1" thickTop="1">
      <c r="C131" s="409" t="s">
        <v>52</v>
      </c>
      <c r="D131" s="410"/>
      <c r="E131" s="181">
        <f>Parámetros!E57</f>
        <v>59414</v>
      </c>
    </row>
    <row r="132" ht="12.75" hidden="1"/>
    <row r="133" ht="12.75" hidden="1"/>
    <row r="134" ht="12.75" hidden="1"/>
    <row r="135" ht="13.5" thickTop="1"/>
  </sheetData>
  <sheetProtection password="E71E" sheet="1" objects="1" scenarios="1"/>
  <mergeCells count="45">
    <mergeCell ref="C3:E3"/>
    <mergeCell ref="B4:F4"/>
    <mergeCell ref="B6:F6"/>
    <mergeCell ref="B7:F7"/>
    <mergeCell ref="B8:F8"/>
    <mergeCell ref="B11:F11"/>
    <mergeCell ref="B13:F13"/>
    <mergeCell ref="B14:F14"/>
    <mergeCell ref="B16:F16"/>
    <mergeCell ref="B18:F18"/>
    <mergeCell ref="B19:F19"/>
    <mergeCell ref="C23:E23"/>
    <mergeCell ref="B24:G24"/>
    <mergeCell ref="C27:E27"/>
    <mergeCell ref="B28:G28"/>
    <mergeCell ref="B31:E31"/>
    <mergeCell ref="F31:G31"/>
    <mergeCell ref="C39:D39"/>
    <mergeCell ref="F39:G39"/>
    <mergeCell ref="B41:E41"/>
    <mergeCell ref="F41:G41"/>
    <mergeCell ref="C44:D44"/>
    <mergeCell ref="F44:G44"/>
    <mergeCell ref="B46:E46"/>
    <mergeCell ref="F46:G46"/>
    <mergeCell ref="E49:F49"/>
    <mergeCell ref="B58:E58"/>
    <mergeCell ref="C64:D64"/>
    <mergeCell ref="B80:D80"/>
    <mergeCell ref="B101:D101"/>
    <mergeCell ref="B102:D102"/>
    <mergeCell ref="A104:C104"/>
    <mergeCell ref="E104:G104"/>
    <mergeCell ref="C89:D89"/>
    <mergeCell ref="B98:D98"/>
    <mergeCell ref="B96:F96"/>
    <mergeCell ref="B99:D99"/>
    <mergeCell ref="C108:D108"/>
    <mergeCell ref="C131:D131"/>
    <mergeCell ref="C119:E119"/>
    <mergeCell ref="C125:D125"/>
    <mergeCell ref="C126:D126"/>
    <mergeCell ref="C128:D128"/>
    <mergeCell ref="C109:D109"/>
    <mergeCell ref="B111:D111"/>
  </mergeCells>
  <dataValidations count="26">
    <dataValidation type="whole" allowBlank="1" showInputMessage="1" showErrorMessage="1" errorTitle="Dato no válido" error="Solo podrás ingresar números enteros, sin decimales. Tampoco digites puntos o comas." sqref="G14:G19">
      <formula1>0</formula1>
      <formula2>1E+33</formula2>
    </dataValidation>
    <dataValidation type="whole" allowBlank="1" showInputMessage="1" showErrorMessage="1" sqref="G8">
      <formula1>0</formula1>
      <formula2>1E+33</formula2>
    </dataValidation>
    <dataValidation type="whole" allowBlank="1" showInputMessage="1" showErrorMessage="1" promptTitle="PASIVIDAD" prompt="DIGITA AQUÍ DONDE ESTAS PARADO, EL IMPORTE DE TU PASIVIDAD NOMINAL, SIN DECIMALES Y SIN AGREGAR PUNTOS O COMAS. " sqref="G26">
      <formula1>0</formula1>
      <formula2>1E+37</formula2>
    </dataValidation>
    <dataValidation type="whole" allowBlank="1" showInputMessage="1" showErrorMessage="1" promptTitle="SUELDO" prompt="DIGITÁ AQUÍ DONDE ESTAS POSICIONADO, TU SUELDO NOMINAL O BRUTO SIN RESTARLE NINGUNA PARTIDA, (VER HOJA GUIA TRABAJADOR.&#10;INGRESALO SIN DECIMALES Y SIN AGREGAR PUNTOS O COMAS." errorTitle="Dato no válido" error="Solo podrás ingresar números enteros, sin decimales. Tampoco digites puntos o comas." sqref="G5">
      <formula1>0</formula1>
      <formula2>1E+36</formula2>
    </dataValidation>
    <dataValidation allowBlank="1" showInputMessage="1" showErrorMessage="1" promptTitle="B.P.C." prompt="Ingresar el valor actual de la Base de Prestaciones y Contribuciones, decretada por el Poder Ejecutivo" sqref="F55"/>
    <dataValidation type="whole" allowBlank="1" showInputMessage="1" showErrorMessage="1" promptTitle="PENSION" prompt="DIGITAR EL IMPORTE DE TU PENSIÓN NOMINAL, SIN DECIMALES. TAMPOCO DIGITES PUNTOS O COMAS.&#10;EN CASO DE TENER MAS DE UNA PENSIÓN, INGRESAR UNA POR CELDA.&#10;VER HOJA DE GUIA PENSIÓN." errorTitle="Dato no válido." error="Solo podras ingresar números enteros, sin decimales, puntos o comas" sqref="G29">
      <formula1>0</formula1>
      <formula2>1E+37</formula2>
    </dataValidation>
    <dataValidation type="whole" allowBlank="1" showInputMessage="1" showErrorMessage="1" promptTitle="JUBILACIÓN" prompt="DIGITAR AQUÍ, EL IMPORTE DE TU JUBILACIÓN NOMINAL, SIN DECIMALES Y SIN AGREGAR PUNTOS O COMAS. &#10;EN CASO DE TENER MAS DE UNA JUBILACIÓN, INGRESAR UNA JUBILACIÓN POR CELDA.&#10;VER HOJA DE GUIA JUBILACIÓN." errorTitle="Dato no válido" error="Solo podras ingresar números enteros, sin decimales, puntos o comas." sqref="G25">
      <formula1>0</formula1>
      <formula2>1E+37</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errorTitle="Dato no válido" error="Debes ingresar un número entero, sin decimilas, ni comas ni puntos." sqref="G10">
      <formula1>0</formula1>
      <formula2>1E+33</formula2>
    </dataValidation>
    <dataValidation type="whole" allowBlank="1" showInputMessage="1" showErrorMessage="1" promptTitle="BRUTO SIN PARTIDAS NO GRAVADAS" prompt="Ingresá tu SUELDO NOMINAL restandole al mismo las partidas no gravadas por el B.P.S. Por ejemplo: TICKETS ALIMENTACIÒN, TICKETS TRANSPORTE,  SEGUNDO AGUINALDO y otros, (ver hoja GUIA TRABAJADOR, punto 3). &#10;Ingresá el monto sin decimales, puntos o comas." errorTitle="Dato no válido" error="Debes ingresar un número entero, sin decimilas, ni comas ni puntos." sqref="G12">
      <formula1>0</formula1>
      <formula2>1E+33</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VER HOJA GUIA TRABAJADOR, punto 3). Ingresalo sin decimales, puntos o comas." errorTitle="Dato no válido" error="Debes ingresar un número entero, sin decimilas, ni comas ni puntos." sqref="G9">
      <formula1>0</formula1>
      <formula2>1E+33</formula2>
    </dataValidation>
    <dataValidation type="whole" allowBlank="1" showInputMessage="1" showErrorMessage="1" promptTitle="APORTES a CAJA de PROFESIONALES " prompt="Ingresar el aporte mensual a la CAJA DE JUBILACIONES y PENSIONES DE PROFESIONALES UNIVERSITARIOS." errorTitle="Dato no válido" error="Debe ingresar un número entero." sqref="C21">
      <formula1>1</formula1>
      <formula2>1000000000000000000</formula2>
    </dataValidation>
    <dataValidation type="whole" allowBlank="1" showInputMessage="1" showErrorMessage="1" promptTitle="REINTEGROS CAJA PROFESIONAL" prompt="Ingresar el importe mensual de los REINTEGROS de CAJA DE JUBILACIONES Y PENSIONES DE PROFESIONALES UNIVERSITARIOS." errorTitle="Dato no válido" error="Ingresar un número entero, sin puntos ni comas." sqref="F21">
      <formula1>1</formula1>
      <formula2>10000000000000000000</formula2>
    </dataValidation>
    <dataValidation type="whole" allowBlank="1" showInputMessage="1" showErrorMessage="1" promptTitle="FONDO DE SOLIDARIDAD" prompt="Ingresar la cifra anual que se paga por concepto de Fondo de Solidaridad. En caso de los Técnicos de Administración es la mitad de una B.P.C." errorTitle="Dato no válido" error="Debe ingresar un número entero." sqref="C20">
      <formula1>1</formula1>
      <formula2>1000000000000000000</formula2>
    </dataValidation>
    <dataValidation type="whole" allowBlank="1" showInputMessage="1" showErrorMessage="1" promptTitle="ADICIONAL F.de SOLIDARIDAD" prompt="Ingresar el importe anual por concepto de adicional del FONDO de SOLIDARIDAD" errorTitle="Dato no válido" error="Ingresar un número entero" sqref="F20">
      <formula1>1</formula1>
      <formula2>10000000000000000000</formula2>
    </dataValidation>
    <dataValidation type="whole" allowBlank="1" showInputMessage="1" showErrorMessage="1" promptTitle="MULTIEMPLEO PUBLICO" prompt="Registrar un sueldo por empresa y por celda." errorTitle="Dato no válidoc" error="Debes ingresar un número entero, sin puntos ni comas." sqref="D9:E9">
      <formula1>0</formula1>
      <formula2>1000000000000000000</formula2>
    </dataValidation>
    <dataValidation type="whole" allowBlank="1" showInputMessage="1" showErrorMessage="1" promptTitle="MULTIEMPLEO PRIVADO" prompt="Registrar un sueldo por empresa y por celda." errorTitle="Dato no válido" error="Tienes que ingresar un número entero, sin puntos ni comas." sqref="B12:F12">
      <formula1>0</formula1>
      <formula2>1E+22</formula2>
    </dataValidation>
    <dataValidation type="whole" allowBlank="1" showInputMessage="1" showErrorMessage="1" promptTitle="MULTI-JUBILACIÓN" prompt="Registrar una jubilación por celda." errorTitle="Dato no válido" error="Ingresar un número entero, sin comas ni puntos." sqref="D25:E25">
      <formula1>0</formula1>
      <formula2>1000000000000000000</formula2>
    </dataValidation>
    <dataValidation type="whole" allowBlank="1" showInputMessage="1" showErrorMessage="1" promptTitle="MULTI-PENSIÓN" prompt="Ingresar una pensión por celda" errorTitle="Dato no válido" error="Ingresar un número entero, sin puntos ni comas." sqref="D29:E29">
      <formula1>0</formula1>
      <formula2>10000000000000000</formula2>
    </dataValidation>
    <dataValidation type="whole" allowBlank="1" showInputMessage="1" showErrorMessage="1" promptTitle="REGIMEN NUEVO O DE TRANSICIÓN" prompt="Se debe marcar 1 en caso de NUEVO REGIMEN.&#10;Se debe marcar 2 en caso de REGIMEN de TRANSICIÓN." errorTitle="Dato no válido" error="Solo se puede ingresar el valor 1 o el valor 2" sqref="G7">
      <formula1>1</formula1>
      <formula2>2</formula2>
    </dataValidation>
    <dataValidation type="whole" allowBlank="1" showInputMessage="1" showErrorMessage="1" sqref="F46:G46">
      <formula1>0</formula1>
      <formula2>10000000000000000</formula2>
    </dataValidation>
    <dataValidation type="whole" allowBlank="1" showInputMessage="1" showErrorMessage="1" sqref="G27">
      <formula1>0</formula1>
      <formula2>1E+37</formula2>
    </dataValidation>
    <dataValidation type="whole" allowBlank="1" showInputMessage="1" showErrorMessage="1" promptTitle="SUELDO NOMINAL" prompt="DEBE INGRESAR EL SUELDO NOMINAL SIN RESTAR NINGUNA PARTIDA. (VER GUIA TRABAJADOR)" errorTitle="Dato no válido" error="Debe ingresar un número entero, sin comas ni puntos." sqref="G4">
      <formula1>0</formula1>
      <formula2>1E+23</formula2>
    </dataValidation>
    <dataValidation type="whole" allowBlank="1" showInputMessage="1" showErrorMessage="1" promptTitle="HIJOS MENORES DE 18 AÑOS" prompt="DIGITÁ AQUÍ DONDE ESTAS POSICIONADO, 1 SI TENES HIJOS MENORES DE 18 AÑOS O DISCAPACITADOS DE CUALQUIER EDAD A TU CARGO. DE LO CONTRARIO DIGITAR 0." errorTitle="Dato no válido" error="Solo podrás ingresar 1 o 0." sqref="G6">
      <formula1>0</formula1>
      <formula2>1</formula2>
    </dataValidation>
    <dataValidation type="whole" allowBlank="1" showInputMessage="1" showErrorMessage="1" promptTitle="B.P.C." prompt="Ingresar el valor de la BASE de PRESTACIONES y CONTRIBUCIONES. Ingresar el valor vigente, decretado por el Poder Ejecutivo. Varía en cada ocación de aumento de salarios a los funcionarios públicos." errorTitle="Dato no válido" error="Ingresar una cifra entera, sin decimales ni puntos ni comas." sqref="E122">
      <formula1>0</formula1>
      <formula2>1000000000000</formula2>
    </dataValidation>
    <dataValidation type="decimal" allowBlank="1" showInputMessage="1" showErrorMessage="1" promptTitle="TOPE CUOTA MUTUAL" prompt="Ingresar en esta celda el valor establecido por el Poder Ejecutivo, que hace de tope para poseer el derecho a la cuota mutual, para aquellas personas que se jubilaron como empleados en su última actividad laboral." errorTitle="Dato no válido" error="Debe ingresar un número con hasta dos decimales." sqref="E128">
      <formula1>0</formula1>
      <formula2>10000000000000</formula2>
    </dataValidation>
    <dataValidation allowBlank="1" showInputMessage="1" showErrorMessage="1" promptTitle="TOPE TERCER NIVEL, LEY 16713" prompt="Establecer el valor que fija el Poder Ejecutivo, como tope del aporte personal jubilatorio, para aquellas personas que están dentro del nuevo régimen, (solidaridad intergeneracional y AFAP)" sqref="E131"/>
  </dataValidations>
  <printOptions/>
  <pageMargins left="0.75" right="0.75" top="1" bottom="1" header="0" footer="0"/>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3:G131"/>
  <sheetViews>
    <sheetView workbookViewId="0" topLeftCell="B3">
      <selection activeCell="J19" sqref="J19"/>
    </sheetView>
  </sheetViews>
  <sheetFormatPr defaultColWidth="11.421875" defaultRowHeight="12.75"/>
  <cols>
    <col min="1" max="1" width="16.421875" style="0" hidden="1" customWidth="1"/>
    <col min="2" max="2" width="18.140625" style="0" customWidth="1"/>
    <col min="3" max="3" width="15.57421875" style="0" customWidth="1"/>
    <col min="4" max="4" width="17.421875" style="0" customWidth="1"/>
    <col min="5" max="5" width="19.57421875" style="0" customWidth="1"/>
    <col min="6" max="6" width="13.00390625" style="0" customWidth="1"/>
    <col min="7" max="7" width="18.8515625" style="0" customWidth="1"/>
  </cols>
  <sheetData>
    <row r="1" ht="12.75" hidden="1"/>
    <row r="2" ht="13.5" hidden="1" thickBot="1"/>
    <row r="3" spans="3:5" ht="27" thickBot="1" thickTop="1">
      <c r="C3" s="478" t="s">
        <v>27</v>
      </c>
      <c r="D3" s="479"/>
      <c r="E3" s="480"/>
    </row>
    <row r="4" spans="2:7" ht="21.75" thickBot="1" thickTop="1">
      <c r="B4" s="481" t="s">
        <v>33</v>
      </c>
      <c r="C4" s="482"/>
      <c r="D4" s="482"/>
      <c r="E4" s="482"/>
      <c r="F4" s="483"/>
      <c r="G4" s="273"/>
    </row>
    <row r="5" spans="2:7" ht="24" hidden="1" thickBot="1" thickTop="1">
      <c r="B5" s="11"/>
      <c r="C5" s="11"/>
      <c r="D5" s="11"/>
      <c r="E5" s="23"/>
      <c r="F5" s="11"/>
      <c r="G5" s="274"/>
    </row>
    <row r="6" spans="2:7" ht="30" customHeight="1" thickBot="1" thickTop="1">
      <c r="B6" s="484" t="s">
        <v>102</v>
      </c>
      <c r="C6" s="485"/>
      <c r="D6" s="485"/>
      <c r="E6" s="485"/>
      <c r="F6" s="486"/>
      <c r="G6" s="275"/>
    </row>
    <row r="7" spans="2:7" ht="30" customHeight="1" thickBot="1">
      <c r="B7" s="487" t="s">
        <v>103</v>
      </c>
      <c r="C7" s="488"/>
      <c r="D7" s="488"/>
      <c r="E7" s="488"/>
      <c r="F7" s="489"/>
      <c r="G7" s="276"/>
    </row>
    <row r="8" spans="2:7" ht="30" customHeight="1" thickBot="1" thickTop="1">
      <c r="B8" s="466" t="s">
        <v>57</v>
      </c>
      <c r="C8" s="467"/>
      <c r="D8" s="467"/>
      <c r="E8" s="467"/>
      <c r="F8" s="468"/>
      <c r="G8" s="162"/>
    </row>
    <row r="9" spans="1:7" ht="21.75" thickBot="1" thickTop="1">
      <c r="A9" s="293">
        <f>D9+E9+G9</f>
        <v>0</v>
      </c>
      <c r="B9" s="48"/>
      <c r="C9" s="48"/>
      <c r="D9" s="151"/>
      <c r="E9" s="152"/>
      <c r="F9" s="48"/>
      <c r="G9" s="153"/>
    </row>
    <row r="10" spans="2:7" ht="21.75" hidden="1" thickBot="1">
      <c r="B10" s="144"/>
      <c r="C10" s="48"/>
      <c r="D10" s="48"/>
      <c r="E10" s="48"/>
      <c r="F10" s="48"/>
      <c r="G10" s="12"/>
    </row>
    <row r="11" spans="2:7" ht="30" customHeight="1" thickBot="1" thickTop="1">
      <c r="B11" s="469" t="s">
        <v>63</v>
      </c>
      <c r="C11" s="470"/>
      <c r="D11" s="470"/>
      <c r="E11" s="470"/>
      <c r="F11" s="471"/>
      <c r="G11" s="162"/>
    </row>
    <row r="12" spans="1:7" ht="21.75" thickBot="1" thickTop="1">
      <c r="A12" s="293">
        <f>B12+C12+D12+E12+F12+G12</f>
        <v>0</v>
      </c>
      <c r="B12" s="141"/>
      <c r="C12" s="140"/>
      <c r="D12" s="141"/>
      <c r="E12" s="140"/>
      <c r="F12" s="142"/>
      <c r="G12" s="131"/>
    </row>
    <row r="13" spans="2:7" ht="26.25" thickBot="1">
      <c r="B13" s="472" t="s">
        <v>27</v>
      </c>
      <c r="C13" s="473"/>
      <c r="D13" s="473"/>
      <c r="E13" s="473"/>
      <c r="F13" s="474"/>
      <c r="G13" s="162"/>
    </row>
    <row r="14" spans="2:7" ht="21.75" thickBot="1" thickTop="1">
      <c r="B14" s="475" t="s">
        <v>60</v>
      </c>
      <c r="C14" s="476"/>
      <c r="D14" s="476"/>
      <c r="E14" s="476"/>
      <c r="F14" s="477"/>
      <c r="G14" s="127"/>
    </row>
    <row r="15" spans="2:7" ht="21.75" hidden="1" thickBot="1" thickTop="1">
      <c r="B15" s="145"/>
      <c r="C15" s="277"/>
      <c r="D15" s="277"/>
      <c r="E15" s="277"/>
      <c r="F15" s="277"/>
      <c r="G15" s="128"/>
    </row>
    <row r="16" spans="2:7" ht="30" customHeight="1" thickBot="1" thickTop="1">
      <c r="B16" s="460" t="s">
        <v>61</v>
      </c>
      <c r="C16" s="461"/>
      <c r="D16" s="461"/>
      <c r="E16" s="461"/>
      <c r="F16" s="462"/>
      <c r="G16" s="173"/>
    </row>
    <row r="17" spans="2:7" ht="21.75" hidden="1" thickBot="1" thickTop="1">
      <c r="B17" s="150"/>
      <c r="C17" s="150"/>
      <c r="D17" s="150"/>
      <c r="E17" s="150"/>
      <c r="F17" s="150"/>
      <c r="G17" s="129"/>
    </row>
    <row r="18" spans="2:7" ht="27" thickBot="1" thickTop="1">
      <c r="B18" s="453" t="s">
        <v>27</v>
      </c>
      <c r="C18" s="454"/>
      <c r="D18" s="454"/>
      <c r="E18" s="454"/>
      <c r="F18" s="455"/>
      <c r="G18" s="162"/>
    </row>
    <row r="19" spans="2:7" ht="18" thickBot="1" thickTop="1">
      <c r="B19" s="463" t="s">
        <v>43</v>
      </c>
      <c r="C19" s="464"/>
      <c r="D19" s="464"/>
      <c r="E19" s="464"/>
      <c r="F19" s="465"/>
      <c r="G19" s="163"/>
    </row>
    <row r="20" spans="2:7" ht="28.5" thickBot="1" thickTop="1">
      <c r="B20" s="174" t="s">
        <v>32</v>
      </c>
      <c r="C20" s="175"/>
      <c r="D20" s="26"/>
      <c r="E20" s="177" t="s">
        <v>34</v>
      </c>
      <c r="F20" s="175"/>
      <c r="G20" s="162"/>
    </row>
    <row r="21" spans="2:7" ht="24" thickBot="1" thickTop="1">
      <c r="B21" s="176" t="s">
        <v>55</v>
      </c>
      <c r="C21" s="175"/>
      <c r="D21" s="26"/>
      <c r="E21" s="178" t="s">
        <v>56</v>
      </c>
      <c r="F21" s="175"/>
      <c r="G21" s="162"/>
    </row>
    <row r="22" spans="2:7" ht="21.75" hidden="1" thickBot="1">
      <c r="B22" s="26"/>
      <c r="C22" s="26"/>
      <c r="D22" s="26"/>
      <c r="E22" s="25"/>
      <c r="F22" s="25"/>
      <c r="G22" s="162"/>
    </row>
    <row r="23" spans="2:7" ht="27" hidden="1" thickBot="1" thickTop="1">
      <c r="B23" s="26"/>
      <c r="C23" s="453" t="s">
        <v>28</v>
      </c>
      <c r="D23" s="454"/>
      <c r="E23" s="455"/>
      <c r="F23" s="25"/>
      <c r="G23" s="162"/>
    </row>
    <row r="24" spans="2:7" ht="18" hidden="1" thickBot="1" thickTop="1">
      <c r="B24" s="450" t="s">
        <v>58</v>
      </c>
      <c r="C24" s="451"/>
      <c r="D24" s="451"/>
      <c r="E24" s="451"/>
      <c r="F24" s="451"/>
      <c r="G24" s="452"/>
    </row>
    <row r="25" spans="1:7" ht="22.5" hidden="1" thickBot="1" thickTop="1">
      <c r="A25" s="294">
        <f>D25+E25+G25</f>
        <v>0</v>
      </c>
      <c r="B25" s="19"/>
      <c r="C25" s="19"/>
      <c r="D25" s="146"/>
      <c r="E25" s="147"/>
      <c r="F25" s="19"/>
      <c r="G25" s="147"/>
    </row>
    <row r="26" spans="2:7" ht="25.5" hidden="1" thickBot="1">
      <c r="B26" s="19"/>
      <c r="C26" s="19"/>
      <c r="D26" s="19"/>
      <c r="E26" s="19"/>
      <c r="F26" s="19"/>
      <c r="G26" s="278"/>
    </row>
    <row r="27" spans="2:7" ht="27" hidden="1" thickBot="1" thickTop="1">
      <c r="B27" s="19"/>
      <c r="C27" s="453" t="s">
        <v>29</v>
      </c>
      <c r="D27" s="454"/>
      <c r="E27" s="455"/>
      <c r="F27" s="19"/>
      <c r="G27" s="161"/>
    </row>
    <row r="28" spans="2:7" ht="18" hidden="1" thickBot="1" thickTop="1">
      <c r="B28" s="450" t="s">
        <v>59</v>
      </c>
      <c r="C28" s="451"/>
      <c r="D28" s="451"/>
      <c r="E28" s="451"/>
      <c r="F28" s="451"/>
      <c r="G28" s="452"/>
    </row>
    <row r="29" spans="1:7" ht="22.5" hidden="1" thickBot="1" thickTop="1">
      <c r="A29" s="294">
        <f>D29+E29+G29</f>
        <v>0</v>
      </c>
      <c r="B29" s="19"/>
      <c r="C29" s="19"/>
      <c r="D29" s="148"/>
      <c r="E29" s="148"/>
      <c r="F29" s="139"/>
      <c r="G29" s="148"/>
    </row>
    <row r="30" spans="2:7" ht="17.25" hidden="1" thickBot="1">
      <c r="B30" s="25"/>
      <c r="C30" s="25"/>
      <c r="D30" s="25"/>
      <c r="E30" s="25"/>
      <c r="F30" s="24"/>
      <c r="G30" s="24"/>
    </row>
    <row r="31" spans="2:7" ht="24.75" thickBot="1" thickTop="1">
      <c r="B31" s="456" t="s">
        <v>104</v>
      </c>
      <c r="C31" s="457"/>
      <c r="D31" s="457"/>
      <c r="E31" s="458"/>
      <c r="F31" s="459"/>
      <c r="G31" s="459"/>
    </row>
    <row r="32" spans="2:7" ht="17.25" thickBot="1" thickTop="1">
      <c r="B32" s="154" t="s">
        <v>5</v>
      </c>
      <c r="C32" s="154" t="s">
        <v>8</v>
      </c>
      <c r="D32" s="155" t="s">
        <v>9</v>
      </c>
      <c r="E32" s="154" t="s">
        <v>88</v>
      </c>
      <c r="F32" s="51"/>
      <c r="G32" s="130" t="s">
        <v>5</v>
      </c>
    </row>
    <row r="33" spans="1:7" ht="16.5" thickBot="1">
      <c r="A33">
        <f>G33</f>
        <v>13608</v>
      </c>
      <c r="B33" s="60" t="s">
        <v>105</v>
      </c>
      <c r="C33" s="61">
        <f>G33</f>
        <v>13608</v>
      </c>
      <c r="D33" s="62">
        <v>0</v>
      </c>
      <c r="E33" s="63">
        <f aca="true" t="shared" si="0" ref="E33:E38">C33*D33</f>
        <v>0</v>
      </c>
      <c r="G33" s="55">
        <f>7*Parámetros!E32</f>
        <v>13608</v>
      </c>
    </row>
    <row r="34" spans="1:7" ht="16.5" thickBot="1">
      <c r="A34">
        <f>IF(C52&gt;=G34,G34-G33,C52-G33)</f>
        <v>-13608</v>
      </c>
      <c r="B34" s="64" t="s">
        <v>106</v>
      </c>
      <c r="C34" s="65">
        <f>IF(A34&lt;=0,0,A34)</f>
        <v>0</v>
      </c>
      <c r="D34" s="66">
        <v>0.1</v>
      </c>
      <c r="E34" s="67">
        <f t="shared" si="0"/>
        <v>0</v>
      </c>
      <c r="G34" s="56">
        <f>10*Parámetros!E32</f>
        <v>19440</v>
      </c>
    </row>
    <row r="35" spans="1:7" ht="16.5" thickBot="1">
      <c r="A35">
        <f>IF(C52&gt;=G35,G35-G34,C52-G34)</f>
        <v>-19440</v>
      </c>
      <c r="B35" s="68" t="s">
        <v>3</v>
      </c>
      <c r="C35" s="69">
        <f>IF(A35&lt;=0,0,A35)</f>
        <v>0</v>
      </c>
      <c r="D35" s="70">
        <v>0.15</v>
      </c>
      <c r="E35" s="71">
        <f t="shared" si="0"/>
        <v>0</v>
      </c>
      <c r="G35" s="57">
        <f>15*Parámetros!E32</f>
        <v>29160</v>
      </c>
    </row>
    <row r="36" spans="1:7" ht="16.5" thickBot="1">
      <c r="A36">
        <f>IF(C52&gt;=G36,G36-G35,C52-G35)</f>
        <v>-29160</v>
      </c>
      <c r="B36" s="72" t="s">
        <v>13</v>
      </c>
      <c r="C36" s="73">
        <f>IF(A36&lt;=0,0,A36)</f>
        <v>0</v>
      </c>
      <c r="D36" s="74">
        <v>0.2</v>
      </c>
      <c r="E36" s="75">
        <f t="shared" si="0"/>
        <v>0</v>
      </c>
      <c r="G36" s="58">
        <f>50*Parámetros!E32</f>
        <v>97200</v>
      </c>
    </row>
    <row r="37" spans="1:7" ht="16.5" thickBot="1">
      <c r="A37">
        <f>IF(C52&gt;=G37,G37-G36,C52-G36)</f>
        <v>-97200</v>
      </c>
      <c r="B37" s="76" t="s">
        <v>14</v>
      </c>
      <c r="C37" s="77">
        <f>IF(A37&lt;=0,0,A37)</f>
        <v>0</v>
      </c>
      <c r="D37" s="78">
        <v>0.22</v>
      </c>
      <c r="E37" s="79">
        <f t="shared" si="0"/>
        <v>0</v>
      </c>
      <c r="G37" s="59">
        <f>100*Parámetros!E32</f>
        <v>194400</v>
      </c>
    </row>
    <row r="38" spans="1:5" ht="16.5" thickBot="1">
      <c r="A38">
        <f>IF(C52&gt;G37,C52-G37,0)</f>
        <v>0</v>
      </c>
      <c r="B38" s="80" t="s">
        <v>15</v>
      </c>
      <c r="C38" s="279">
        <f>IF(A38&lt;=0,0,A38)</f>
        <v>0</v>
      </c>
      <c r="D38" s="280">
        <v>0.25</v>
      </c>
      <c r="E38" s="149">
        <f t="shared" si="0"/>
        <v>0</v>
      </c>
    </row>
    <row r="39" spans="3:7" ht="21.75" thickBot="1" thickTop="1">
      <c r="C39" s="442" t="s">
        <v>40</v>
      </c>
      <c r="D39" s="443"/>
      <c r="E39" s="281">
        <f>SUM(E34:E38)</f>
        <v>0</v>
      </c>
      <c r="F39" s="444"/>
      <c r="G39" s="444"/>
    </row>
    <row r="40" spans="3:7" ht="23.25" hidden="1" thickBot="1" thickTop="1">
      <c r="C40" s="283"/>
      <c r="D40" s="283"/>
      <c r="E40" s="284"/>
      <c r="F40" s="282"/>
      <c r="G40" s="282"/>
    </row>
    <row r="41" spans="2:7" ht="34.5" thickBot="1" thickTop="1">
      <c r="B41" s="445" t="s">
        <v>107</v>
      </c>
      <c r="C41" s="446"/>
      <c r="D41" s="446"/>
      <c r="E41" s="447"/>
      <c r="F41" s="448">
        <f>C51</f>
        <v>0</v>
      </c>
      <c r="G41" s="449"/>
    </row>
    <row r="42" spans="2:7" ht="21.75" hidden="1">
      <c r="B42" s="285"/>
      <c r="C42" s="286" t="s">
        <v>108</v>
      </c>
      <c r="D42" s="286"/>
      <c r="E42" s="287"/>
      <c r="F42" s="288"/>
      <c r="G42" s="288"/>
    </row>
    <row r="43" spans="3:7" ht="22.5" hidden="1" thickBot="1">
      <c r="C43" s="283"/>
      <c r="D43" s="283"/>
      <c r="E43" s="284"/>
      <c r="F43" s="282"/>
      <c r="G43" s="282"/>
    </row>
    <row r="44" spans="2:7" ht="39" thickBot="1" thickTop="1">
      <c r="B44" s="289" t="s">
        <v>104</v>
      </c>
      <c r="C44" s="433">
        <f>IF(E39-C119&lt;0,0,E39-C119)</f>
        <v>0</v>
      </c>
      <c r="D44" s="434"/>
      <c r="E44" s="290" t="s">
        <v>109</v>
      </c>
      <c r="F44" s="435">
        <f>C50</f>
        <v>0</v>
      </c>
      <c r="G44" s="436"/>
    </row>
    <row r="45" spans="6:7" ht="19.5" hidden="1" thickBot="1" thickTop="1">
      <c r="F45" s="27"/>
      <c r="G45" s="22"/>
    </row>
    <row r="46" spans="2:7" ht="42.75" hidden="1" thickBot="1" thickTop="1">
      <c r="B46" s="437" t="s">
        <v>30</v>
      </c>
      <c r="C46" s="438"/>
      <c r="D46" s="438"/>
      <c r="E46" s="439"/>
      <c r="F46" s="440" t="e">
        <f>E44-C55</f>
        <v>#VALUE!</v>
      </c>
      <c r="G46" s="441"/>
    </row>
    <row r="47" spans="3:7" ht="14.25" hidden="1" thickBot="1" thickTop="1">
      <c r="C47" s="1"/>
      <c r="G47" s="3"/>
    </row>
    <row r="48" spans="2:3" ht="16.5" hidden="1" thickBot="1">
      <c r="B48" s="41" t="s">
        <v>37</v>
      </c>
      <c r="C48" s="42">
        <f>IF(A12&gt;0,A12*0.125%,0)</f>
        <v>0</v>
      </c>
    </row>
    <row r="49" spans="2:6" ht="16.5" hidden="1" thickBot="1">
      <c r="B49" s="38" t="s">
        <v>120</v>
      </c>
      <c r="C49" s="40">
        <f>IF(A9&lt;=0,A12,A12+A9)</f>
        <v>0</v>
      </c>
      <c r="E49" s="428" t="s">
        <v>7</v>
      </c>
      <c r="F49" s="429"/>
    </row>
    <row r="50" spans="2:7" ht="16.5" hidden="1" thickBot="1">
      <c r="B50" s="39" t="s">
        <v>109</v>
      </c>
      <c r="C50" s="43">
        <f>IF(C49&lt;=G55,C49*3%,IF(G6&gt;0,C49*6%,C49*4.5%))</f>
        <v>0</v>
      </c>
      <c r="D50" s="172" t="s">
        <v>62</v>
      </c>
      <c r="E50" s="6">
        <v>0</v>
      </c>
      <c r="F50" s="20">
        <f>3*F55</f>
        <v>5832</v>
      </c>
      <c r="G50" s="168">
        <f>(F50+2)*1.02</f>
        <v>5950.68</v>
      </c>
    </row>
    <row r="51" spans="2:7" ht="16.5" hidden="1" thickBot="1">
      <c r="B51" s="96" t="s">
        <v>0</v>
      </c>
      <c r="C51" s="97">
        <f>E94</f>
        <v>0</v>
      </c>
      <c r="D51" s="42">
        <f>C51+C50+C48</f>
        <v>0</v>
      </c>
      <c r="E51" s="7">
        <v>0.02</v>
      </c>
      <c r="F51" s="21">
        <f>6*F55</f>
        <v>11664</v>
      </c>
      <c r="G51" s="168">
        <f>(F51+35)*1.06</f>
        <v>12400.94</v>
      </c>
    </row>
    <row r="52" spans="2:7" ht="16.5" hidden="1" thickBot="1">
      <c r="B52" s="90" t="s">
        <v>121</v>
      </c>
      <c r="C52" s="91">
        <f>G4</f>
        <v>0</v>
      </c>
      <c r="E52" s="8">
        <v>0.06</v>
      </c>
      <c r="F52" s="171">
        <f>(F55*6)+1</f>
        <v>11665</v>
      </c>
      <c r="G52" s="168">
        <f>(F51+4)*1.02</f>
        <v>11901.36</v>
      </c>
    </row>
    <row r="53" spans="2:7" ht="16.5" hidden="1" thickBot="1">
      <c r="B53" s="92" t="s">
        <v>41</v>
      </c>
      <c r="C53" s="93">
        <f>A25</f>
        <v>0</v>
      </c>
      <c r="E53" s="169"/>
      <c r="F53" s="170"/>
      <c r="G53" s="1"/>
    </row>
    <row r="54" spans="2:7" ht="16.5" hidden="1" thickBot="1">
      <c r="B54" s="94" t="s">
        <v>42</v>
      </c>
      <c r="C54" s="95">
        <f>A29</f>
        <v>0</v>
      </c>
      <c r="D54" s="291">
        <f>C53+C54</f>
        <v>0</v>
      </c>
      <c r="F54" s="2"/>
      <c r="G54" s="291" t="s">
        <v>110</v>
      </c>
    </row>
    <row r="55" spans="2:7" ht="21" hidden="1" thickBot="1">
      <c r="B55" s="98" t="s">
        <v>36</v>
      </c>
      <c r="C55" s="99" t="e">
        <f>#REF!+F44</f>
        <v>#REF!</v>
      </c>
      <c r="E55" s="35" t="s">
        <v>4</v>
      </c>
      <c r="F55" s="89">
        <f>Parámetros!E32</f>
        <v>1944</v>
      </c>
      <c r="G55" s="292">
        <f>2.5*F55</f>
        <v>4860</v>
      </c>
    </row>
    <row r="56" spans="2:3" ht="18.75" hidden="1" thickBot="1">
      <c r="B56" s="158" t="s">
        <v>54</v>
      </c>
      <c r="C56" s="159">
        <f>C48+C50+C51</f>
        <v>0</v>
      </c>
    </row>
    <row r="57" ht="13.5" hidden="1" thickBot="1"/>
    <row r="58" spans="2:5" ht="18.75" hidden="1" thickBot="1">
      <c r="B58" s="374" t="s">
        <v>12</v>
      </c>
      <c r="C58" s="375"/>
      <c r="D58" s="375"/>
      <c r="E58" s="376"/>
    </row>
    <row r="59" spans="2:7" ht="15.75" hidden="1" thickBot="1">
      <c r="B59" s="10" t="s">
        <v>5</v>
      </c>
      <c r="C59" s="9" t="s">
        <v>8</v>
      </c>
      <c r="D59" s="10" t="s">
        <v>9</v>
      </c>
      <c r="E59" s="10" t="s">
        <v>88</v>
      </c>
      <c r="G59" s="165"/>
    </row>
    <row r="60" spans="1:7" ht="12.75" hidden="1">
      <c r="A60">
        <f>G60</f>
        <v>15552</v>
      </c>
      <c r="B60" s="28" t="s">
        <v>111</v>
      </c>
      <c r="C60" s="13">
        <f>'[1]DEDUCCIONES'!D29*5</f>
        <v>0</v>
      </c>
      <c r="D60" s="4">
        <v>0</v>
      </c>
      <c r="E60" s="16">
        <f>C60*D60</f>
        <v>0</v>
      </c>
      <c r="G60" s="298">
        <f>8*Parámetros!E32</f>
        <v>15552</v>
      </c>
    </row>
    <row r="61" spans="1:7" ht="12.75" hidden="1">
      <c r="A61">
        <f>IF(D54&gt;=G61,G60,D54-G60)</f>
        <v>-15552</v>
      </c>
      <c r="B61" s="29" t="s">
        <v>112</v>
      </c>
      <c r="C61" s="14">
        <f>IF(A36&lt;=0,0,A36)</f>
        <v>0</v>
      </c>
      <c r="D61" s="5">
        <v>0.1</v>
      </c>
      <c r="E61" s="17">
        <f>C61*D61</f>
        <v>0</v>
      </c>
      <c r="G61" s="299">
        <f>15*Parámetros!E32</f>
        <v>29160</v>
      </c>
    </row>
    <row r="62" spans="1:7" ht="13.5" hidden="1" thickBot="1">
      <c r="A62">
        <f>IF(D54&gt;=G62,G60,D54-G61)</f>
        <v>-29160</v>
      </c>
      <c r="B62" s="29" t="s">
        <v>16</v>
      </c>
      <c r="C62" s="15">
        <f>IF(A37&lt;=0,0,A37)</f>
        <v>0</v>
      </c>
      <c r="D62" s="5">
        <v>0.15</v>
      </c>
      <c r="E62" s="17">
        <f>C62*D62</f>
        <v>0</v>
      </c>
      <c r="G62" s="300">
        <f>50*Parámetros!E32</f>
        <v>97200</v>
      </c>
    </row>
    <row r="63" spans="1:7" ht="13.5" hidden="1" thickBot="1">
      <c r="A63">
        <f>IF(D54&gt;G62,D54-G62,0)</f>
        <v>0</v>
      </c>
      <c r="B63" s="30" t="s">
        <v>17</v>
      </c>
      <c r="C63" s="31">
        <f>IF(A38&lt;=0,0,A38)</f>
        <v>0</v>
      </c>
      <c r="D63" s="32">
        <v>0.25</v>
      </c>
      <c r="E63" s="33">
        <f>C63*D63</f>
        <v>0</v>
      </c>
      <c r="G63" s="166"/>
    </row>
    <row r="64" spans="3:7" ht="18.75" hidden="1" thickBot="1">
      <c r="C64" s="374" t="s">
        <v>6</v>
      </c>
      <c r="D64" s="376"/>
      <c r="E64" s="18">
        <f>SUM(E61:E62)</f>
        <v>0</v>
      </c>
      <c r="G64" s="166"/>
    </row>
    <row r="65" spans="1:7" ht="12.75" hidden="1">
      <c r="A65" s="295"/>
      <c r="B65" s="295"/>
      <c r="C65" s="27"/>
      <c r="D65" s="27"/>
      <c r="E65" s="296"/>
      <c r="F65" s="295"/>
      <c r="G65" s="297"/>
    </row>
    <row r="66" spans="1:7" ht="12.75" hidden="1">
      <c r="A66" s="295"/>
      <c r="B66" s="295"/>
      <c r="C66" s="27"/>
      <c r="D66" s="27"/>
      <c r="E66" s="296"/>
      <c r="F66" s="295"/>
      <c r="G66" s="297"/>
    </row>
    <row r="67" ht="12.75" hidden="1">
      <c r="G67" s="27"/>
    </row>
    <row r="68" ht="12.75" hidden="1">
      <c r="G68" s="27"/>
    </row>
    <row r="69" ht="13.5" hidden="1" thickBot="1">
      <c r="G69" s="166"/>
    </row>
    <row r="70" spans="2:7" ht="16.5" hidden="1" thickBot="1">
      <c r="B70" s="135" t="s">
        <v>44</v>
      </c>
      <c r="C70" s="136"/>
      <c r="D70" s="137"/>
      <c r="G70" s="167"/>
    </row>
    <row r="71" ht="13.5" hidden="1" thickBot="1">
      <c r="C71" s="132"/>
    </row>
    <row r="72" spans="3:7" ht="13.5" hidden="1" thickBot="1">
      <c r="C72" s="264">
        <f>IF(B12&gt;G51,B12*6%,(IF(B12&lt;=F50,0,IF(AND(B12&gt;F50,B12&lt;=G50),B12*2%-(F50-(B12-(B12*2%))),IF(AND(B12&gt;F51,B12&lt;=G51),B12*6%-(I51-(B12-(B12*6%))),B12*2%)))))</f>
        <v>0</v>
      </c>
      <c r="E72" s="133" t="s">
        <v>46</v>
      </c>
      <c r="G72" s="164"/>
    </row>
    <row r="73" spans="3:7" ht="16.5" hidden="1" thickBot="1">
      <c r="C73" s="264">
        <f>IF(C12&gt;G51,C12*6%,(IF(C12&lt;=F50,0,IF(AND(C12&gt;F50,C12&lt;=G50),C12*2%-(F50-(C12-(C12*2%))),IF(AND(C12&gt;F51,C12&lt;=G51),C12*6%-(I51-(C12-(C12*6%))),C12*2%)))))</f>
        <v>0</v>
      </c>
      <c r="E73" s="93">
        <f>IF(G25&gt;G52,G25*2%,(IF(G25&lt;=F51,0,G25-F51)))+IF(E25&gt;G52,E25*2%,(IF(E25&lt;=F51,0,E25-F51)))+IF(D25&gt;G52,D25*2%,(IF(D25&lt;=F51,0,D25-F51)))</f>
        <v>0</v>
      </c>
      <c r="G73" s="164"/>
    </row>
    <row r="74" spans="3:7" ht="13.5" hidden="1" thickBot="1">
      <c r="C74" s="264">
        <f>IF(D12&gt;G51,D12*6%,(IF(D12&lt;=F50,0,IF(AND(D12&gt;F50,D12&lt;=G50),D12*2%-(F50-(D12-(D12*2%))),IF(AND(D12&gt;F51,D12&lt;=G51),D12*6%-(I51-(D12-(D12*6%))),D12*2%)))))</f>
        <v>0</v>
      </c>
      <c r="G74" s="164"/>
    </row>
    <row r="75" spans="3:5" ht="13.5" hidden="1" thickBot="1">
      <c r="C75" s="264">
        <f>IF(E12&gt;G51,E12*6%,(IF(E12&lt;=F50,0,IF(AND(E12&gt;F50,E12&lt;=G50),E12*2%-(F50-(E12-(E12*2%))),IF(AND(E12&gt;F51,E12&lt;=G51),E12*6%-(I51-(E12-(E12*6%))),E12*2%)))))</f>
        <v>0</v>
      </c>
      <c r="E75" s="134" t="s">
        <v>47</v>
      </c>
    </row>
    <row r="76" spans="3:7" ht="16.5" hidden="1" thickBot="1">
      <c r="C76" s="264">
        <f>IF(F12&gt;G51,F12*6%,(IF(F12&lt;=F50,0,IF(AND(F12&gt;F50,F12&lt;=G50),F12*2%-(F50-(F12-(F12*2%))),IF(AND(F12&gt;F51,F12&lt;=G51),F12*6%-(I51-(F12-(F12*6%))),F12*2%)))))</f>
        <v>0</v>
      </c>
      <c r="E76" s="270">
        <f>IF(G29&gt;G52,G29*2%,(IF(G29&lt;=F51,0,G29-F51)))+IF(E29&gt;G52,E29*2%,(IF(E29&lt;=F51,0,E29-F51)))+IF(D29&gt;G52,D29*2%,(IF(D29&lt;=F51,0,D29-F51)))</f>
        <v>0</v>
      </c>
      <c r="G76" s="164"/>
    </row>
    <row r="77" ht="13.5" hidden="1" thickBot="1">
      <c r="C77" s="264">
        <f>IF(G12&gt;G51,G12*6%,(IF(G12&lt;=F50,0,IF(AND(G12&gt;F50,G12&lt;=G50),G12*2%-(F50-(G12-(G12*2%))),IF(AND(G12&gt;F51,G12&lt;=G51),G12*6%-(I51-(G12-(G12*6%))),G12*2%)))))</f>
        <v>0</v>
      </c>
    </row>
    <row r="78" spans="2:3" ht="18.75" hidden="1" thickBot="1">
      <c r="B78" s="138" t="s">
        <v>45</v>
      </c>
      <c r="C78" s="265">
        <f>SUM(C72:C77)</f>
        <v>0</v>
      </c>
    </row>
    <row r="79" ht="13.5" hidden="1" thickBot="1"/>
    <row r="80" spans="2:4" ht="16.5" hidden="1" thickBot="1">
      <c r="B80" s="430" t="s">
        <v>48</v>
      </c>
      <c r="C80" s="431"/>
      <c r="D80" s="432"/>
    </row>
    <row r="81" ht="12.75" hidden="1">
      <c r="C81" s="266">
        <f>IF(G9&gt;G51,G9*6%,(IF(G9&lt;=F50,0,IF(AND(G9&gt;F50,G9&lt;=G50),G9*2%-(F50-(G9-(G9*2%))),IF(AND(G9&gt;F51,G9&lt;=G51),G9*6%-(I51-(G9-(G9*6%))),G9*2%)))))</f>
        <v>0</v>
      </c>
    </row>
    <row r="82" ht="12.75" hidden="1">
      <c r="C82" s="267">
        <f>IF(E9&gt;G51,E9*6%,(IF(E9&lt;=F50,0,IF(AND(E9&gt;F50,E9&lt;=G50),E9*2%-(F50-(E9-(E9*2%))),IF(AND(E9&gt;F51,E9&lt;=G51),E9*6%-(I51-(E9-(E9*6%))),E9*2%)))))</f>
        <v>0</v>
      </c>
    </row>
    <row r="83" ht="13.5" hidden="1" thickBot="1">
      <c r="C83" s="268">
        <f>IF(D9&gt;G51,D9*6%,(IF(D9&lt;=F50,0,IF(AND(D9&gt;F50,D9&lt;=G50),D9*2%-(F50-(D9-(D9*2%))),IF(AND(D9&gt;F51,D9&lt;=G51),D9*6%-(I51-(D9-(D9*6%))),D9*2%)))))</f>
        <v>0</v>
      </c>
    </row>
    <row r="84" spans="2:3" ht="18.75" hidden="1" thickBot="1">
      <c r="B84" s="143" t="s">
        <v>45</v>
      </c>
      <c r="C84" s="269">
        <f>SUM(C81:C83)</f>
        <v>0</v>
      </c>
    </row>
    <row r="85" ht="12.75" hidden="1"/>
    <row r="86" ht="12.75" hidden="1"/>
    <row r="87" ht="12.75" hidden="1"/>
    <row r="88" ht="13.5" hidden="1" thickBot="1"/>
    <row r="89" spans="3:5" ht="13.5" hidden="1" thickBot="1">
      <c r="C89" s="418" t="s">
        <v>49</v>
      </c>
      <c r="D89" s="419"/>
      <c r="E89" s="86">
        <f>Parámetros!E57</f>
        <v>59414</v>
      </c>
    </row>
    <row r="90" ht="13.5" hidden="1" thickBot="1"/>
    <row r="91" spans="4:5" ht="16.5" hidden="1" thickBot="1">
      <c r="D91" s="85" t="s">
        <v>50</v>
      </c>
      <c r="E91" s="156">
        <f>C49*15%</f>
        <v>0</v>
      </c>
    </row>
    <row r="92" spans="4:5" ht="16.5" hidden="1" thickBot="1">
      <c r="D92" s="85" t="s">
        <v>51</v>
      </c>
      <c r="E92" s="156">
        <f>IF(C49&lt;=E89,C49*15%,E89*15%)</f>
        <v>0</v>
      </c>
    </row>
    <row r="93" ht="13.5" hidden="1" thickBot="1">
      <c r="E93" s="1"/>
    </row>
    <row r="94" spans="4:5" ht="18.75" hidden="1" thickBot="1">
      <c r="D94" s="85" t="s">
        <v>53</v>
      </c>
      <c r="E94" s="157">
        <f>IF(G7=1,E92,E91)</f>
        <v>0</v>
      </c>
    </row>
    <row r="95" ht="13.5" hidden="1" thickBot="1"/>
    <row r="96" spans="2:7" ht="27.75" hidden="1" thickBot="1" thickTop="1">
      <c r="B96" s="420" t="s">
        <v>22</v>
      </c>
      <c r="C96" s="421"/>
      <c r="D96" s="421"/>
      <c r="E96" s="421"/>
      <c r="F96" s="421"/>
      <c r="G96" s="184">
        <f>C119</f>
        <v>0</v>
      </c>
    </row>
    <row r="97" ht="13.5" hidden="1" thickBot="1"/>
    <row r="98" spans="2:4" ht="21" hidden="1" thickBot="1">
      <c r="B98" s="397" t="s">
        <v>11</v>
      </c>
      <c r="C98" s="398"/>
      <c r="D98" s="399"/>
    </row>
    <row r="99" spans="2:5" ht="18.75" hidden="1" thickBot="1">
      <c r="B99" s="422" t="s">
        <v>64</v>
      </c>
      <c r="C99" s="423"/>
      <c r="D99" s="424"/>
      <c r="E99" s="215">
        <f>Parámetros!E4</f>
        <v>2106</v>
      </c>
    </row>
    <row r="100" ht="13.5" hidden="1" thickBot="1"/>
    <row r="101" spans="2:4" ht="21" hidden="1" thickBot="1">
      <c r="B101" s="403" t="s">
        <v>11</v>
      </c>
      <c r="C101" s="404"/>
      <c r="D101" s="405"/>
    </row>
    <row r="102" spans="2:5" ht="18.75" hidden="1" thickBot="1">
      <c r="B102" s="425" t="s">
        <v>114</v>
      </c>
      <c r="C102" s="426"/>
      <c r="D102" s="427"/>
      <c r="E102" s="126">
        <f>Parámetros!E9</f>
        <v>4212</v>
      </c>
    </row>
    <row r="103" ht="13.5" hidden="1" thickBot="1"/>
    <row r="104" spans="1:7" ht="16.5" hidden="1" thickBot="1">
      <c r="A104" s="382" t="s">
        <v>23</v>
      </c>
      <c r="B104" s="396"/>
      <c r="C104" s="383"/>
      <c r="E104" s="382" t="s">
        <v>25</v>
      </c>
      <c r="F104" s="396"/>
      <c r="G104" s="383"/>
    </row>
    <row r="105" spans="2:6" ht="18.75" hidden="1" thickBot="1">
      <c r="B105" s="46">
        <f>IF(G5=0,0,(E94+C50+C48+(C20/12)+(F20/12)+C21+F21+(G14*E99)+(G16*E102)))</f>
        <v>0</v>
      </c>
      <c r="E105" s="84">
        <f>IF(A25&gt;E128,A25*1%,A25*3%)</f>
        <v>0</v>
      </c>
      <c r="F105" s="49">
        <f>IF(A25&lt;=0,0,IF(AND(A29&lt;=0,B105&lt;=0),F108,IF(AND(A29&lt;=0,E105&gt;0),E102+E105,F108)))</f>
        <v>0</v>
      </c>
    </row>
    <row r="106" spans="2:6" ht="18.75" hidden="1" thickBot="1">
      <c r="B106" s="87"/>
      <c r="E106" s="88"/>
      <c r="F106" s="49"/>
    </row>
    <row r="107" ht="13.5" hidden="1" thickBot="1"/>
    <row r="108" spans="1:6" ht="16.5" hidden="1" thickBot="1">
      <c r="A108" s="83"/>
      <c r="C108" s="382" t="s">
        <v>26</v>
      </c>
      <c r="D108" s="383"/>
      <c r="E108" s="85">
        <f>IF(G5&lt;=0,(C20/12)+(F20/12)+C21+F21+G14*E99+G16*E102,0)</f>
        <v>0</v>
      </c>
      <c r="F108" s="86">
        <f>E108+E105+E102</f>
        <v>4212</v>
      </c>
    </row>
    <row r="109" spans="3:4" ht="21" hidden="1" thickBot="1">
      <c r="C109" s="384">
        <f>IF(A29&lt;=0,0,IF(AND(A25&lt;=0,B105&lt;=0),F108,IF(AND(A25&lt;=0,B105&gt;0),F108,0)))</f>
        <v>0</v>
      </c>
      <c r="D109" s="385"/>
    </row>
    <row r="110" spans="3:4" ht="21" hidden="1" thickBot="1">
      <c r="C110" s="36"/>
      <c r="D110" s="36"/>
    </row>
    <row r="111" spans="2:5" ht="24" hidden="1" thickBot="1">
      <c r="B111" s="388" t="s">
        <v>35</v>
      </c>
      <c r="C111" s="389"/>
      <c r="D111" s="390"/>
      <c r="E111" s="47">
        <f>B105</f>
        <v>0</v>
      </c>
    </row>
    <row r="112" ht="13.5" hidden="1" thickBot="1"/>
    <row r="113" spans="2:7" ht="13.5" hidden="1" thickBot="1">
      <c r="B113" s="41" t="s">
        <v>5</v>
      </c>
      <c r="C113" s="52" t="s">
        <v>18</v>
      </c>
      <c r="D113" s="41" t="s">
        <v>9</v>
      </c>
      <c r="E113" s="53" t="s">
        <v>88</v>
      </c>
      <c r="G113" s="54" t="s">
        <v>5</v>
      </c>
    </row>
    <row r="114" spans="1:7" ht="15" hidden="1">
      <c r="A114" s="37">
        <f>IF(E111&lt;=G114,E111,G114)</f>
        <v>0</v>
      </c>
      <c r="B114" s="100" t="s">
        <v>115</v>
      </c>
      <c r="C114" s="101">
        <f>IF(A114&lt;=0,0,A114)</f>
        <v>0</v>
      </c>
      <c r="D114" s="102">
        <v>0.1</v>
      </c>
      <c r="E114" s="103">
        <f>C114*D114</f>
        <v>0</v>
      </c>
      <c r="G114" s="122">
        <f>3*Parámetros!E32</f>
        <v>5832</v>
      </c>
    </row>
    <row r="115" spans="1:7" ht="15" hidden="1">
      <c r="A115" s="37">
        <f>IF(E111&gt;=G115,G115-G114,E111-G114)</f>
        <v>-5832</v>
      </c>
      <c r="B115" s="104" t="s">
        <v>116</v>
      </c>
      <c r="C115" s="105">
        <f>IF(A115&lt;=0,0,A115)</f>
        <v>0</v>
      </c>
      <c r="D115" s="106">
        <v>0.15</v>
      </c>
      <c r="E115" s="107">
        <f>C115*D115</f>
        <v>0</v>
      </c>
      <c r="G115" s="123">
        <f>8*Parámetros!E32</f>
        <v>15552</v>
      </c>
    </row>
    <row r="116" spans="1:7" ht="15" hidden="1">
      <c r="A116" s="37">
        <f>IF(E111&gt;=G116,G116-G115,E111-G115)</f>
        <v>-15552</v>
      </c>
      <c r="B116" s="108" t="s">
        <v>117</v>
      </c>
      <c r="C116" s="109">
        <f>IF(A116&lt;=0,0,A116)</f>
        <v>0</v>
      </c>
      <c r="D116" s="110">
        <v>0.2</v>
      </c>
      <c r="E116" s="111">
        <f>C116*D116</f>
        <v>0</v>
      </c>
      <c r="G116" s="124">
        <f>43*Parámetros!E32</f>
        <v>83592</v>
      </c>
    </row>
    <row r="117" spans="1:7" ht="15.75" hidden="1" thickBot="1">
      <c r="A117" s="37">
        <f>IF(E111&gt;=G117,G117-G116,E111-G116)</f>
        <v>-83592</v>
      </c>
      <c r="B117" s="112" t="s">
        <v>118</v>
      </c>
      <c r="C117" s="113">
        <f>IF(A117&lt;=0,0,A117)</f>
        <v>0</v>
      </c>
      <c r="D117" s="114">
        <v>0.22</v>
      </c>
      <c r="E117" s="115">
        <f>C117*D117</f>
        <v>0</v>
      </c>
      <c r="G117" s="125">
        <f>93*Parámetros!E32</f>
        <v>180792</v>
      </c>
    </row>
    <row r="118" spans="1:5" ht="15.75" hidden="1" thickBot="1">
      <c r="A118" s="37">
        <f>IF(E111&gt;G117,E111-G117,0)</f>
        <v>0</v>
      </c>
      <c r="B118" s="116" t="s">
        <v>119</v>
      </c>
      <c r="C118" s="117">
        <f>IF(A118&lt;=0,0,A118)</f>
        <v>0</v>
      </c>
      <c r="D118" s="182">
        <v>0.25</v>
      </c>
      <c r="E118" s="183">
        <f>C118*D118</f>
        <v>0</v>
      </c>
    </row>
    <row r="119" spans="2:5" ht="27" hidden="1" thickBot="1">
      <c r="B119" s="120"/>
      <c r="C119" s="411">
        <f>SUM(E114:E118)</f>
        <v>0</v>
      </c>
      <c r="D119" s="412"/>
      <c r="E119" s="413"/>
    </row>
    <row r="120" ht="12.75" hidden="1"/>
    <row r="121" ht="13.5" hidden="1" thickBot="1"/>
    <row r="122" spans="4:5" ht="24" hidden="1" thickBot="1">
      <c r="D122" s="34" t="s">
        <v>4</v>
      </c>
      <c r="E122" s="81">
        <f>Parámetros!E32</f>
        <v>1944</v>
      </c>
    </row>
    <row r="123" ht="12.75" hidden="1"/>
    <row r="124" ht="13.5" hidden="1" thickBot="1"/>
    <row r="125" spans="3:5" ht="21" hidden="1" thickBot="1">
      <c r="C125" s="391" t="s">
        <v>39</v>
      </c>
      <c r="D125" s="392"/>
      <c r="E125" s="50">
        <f>3*E122</f>
        <v>5832</v>
      </c>
    </row>
    <row r="126" spans="3:5" ht="16.5" hidden="1" thickBot="1">
      <c r="C126" s="414" t="s">
        <v>24</v>
      </c>
      <c r="D126" s="415"/>
      <c r="E126" s="45">
        <f>3*E122+1</f>
        <v>5833</v>
      </c>
    </row>
    <row r="127" ht="13.5" hidden="1" thickBot="1"/>
    <row r="128" spans="3:5" ht="21" hidden="1" thickBot="1">
      <c r="C128" s="416" t="s">
        <v>31</v>
      </c>
      <c r="D128" s="417"/>
      <c r="E128" s="82">
        <f>Parámetros!E45</f>
        <v>5519.29</v>
      </c>
    </row>
    <row r="129" ht="12.75" hidden="1"/>
    <row r="130" ht="13.5" hidden="1" thickBot="1"/>
    <row r="131" spans="3:5" ht="21.75" hidden="1" thickBot="1" thickTop="1">
      <c r="C131" s="409" t="s">
        <v>52</v>
      </c>
      <c r="D131" s="410"/>
      <c r="E131" s="181">
        <f>Parámetros!E57</f>
        <v>59414</v>
      </c>
    </row>
    <row r="132" ht="12.75" hidden="1"/>
    <row r="133" ht="12.75" hidden="1"/>
    <row r="134" ht="13.5" thickTop="1"/>
  </sheetData>
  <sheetProtection password="E71E" sheet="1" objects="1" scenarios="1"/>
  <mergeCells count="45">
    <mergeCell ref="C3:E3"/>
    <mergeCell ref="B4:F4"/>
    <mergeCell ref="B6:F6"/>
    <mergeCell ref="B7:F7"/>
    <mergeCell ref="B8:F8"/>
    <mergeCell ref="B11:F11"/>
    <mergeCell ref="B13:F13"/>
    <mergeCell ref="B14:F14"/>
    <mergeCell ref="B16:F16"/>
    <mergeCell ref="B18:F18"/>
    <mergeCell ref="B19:F19"/>
    <mergeCell ref="C23:E23"/>
    <mergeCell ref="B24:G24"/>
    <mergeCell ref="C27:E27"/>
    <mergeCell ref="B28:G28"/>
    <mergeCell ref="B31:E31"/>
    <mergeCell ref="F31:G31"/>
    <mergeCell ref="C39:D39"/>
    <mergeCell ref="F39:G39"/>
    <mergeCell ref="B41:E41"/>
    <mergeCell ref="F41:G41"/>
    <mergeCell ref="C44:D44"/>
    <mergeCell ref="F44:G44"/>
    <mergeCell ref="B46:E46"/>
    <mergeCell ref="F46:G46"/>
    <mergeCell ref="E49:F49"/>
    <mergeCell ref="B58:E58"/>
    <mergeCell ref="C64:D64"/>
    <mergeCell ref="B80:D80"/>
    <mergeCell ref="C89:D89"/>
    <mergeCell ref="B96:F96"/>
    <mergeCell ref="B98:D98"/>
    <mergeCell ref="B99:D99"/>
    <mergeCell ref="B101:D101"/>
    <mergeCell ref="B102:D102"/>
    <mergeCell ref="A104:C104"/>
    <mergeCell ref="E104:G104"/>
    <mergeCell ref="C108:D108"/>
    <mergeCell ref="C109:D109"/>
    <mergeCell ref="B111:D111"/>
    <mergeCell ref="C119:E119"/>
    <mergeCell ref="C125:D125"/>
    <mergeCell ref="C126:D126"/>
    <mergeCell ref="C128:D128"/>
    <mergeCell ref="C131:D131"/>
  </mergeCells>
  <dataValidations count="26">
    <dataValidation type="whole" allowBlank="1" showInputMessage="1" showErrorMessage="1" errorTitle="Dato no válido" error="Solo podrás ingresar números enteros, sin decimales. Tampoco digites puntos o comas." sqref="G14:G19">
      <formula1>0</formula1>
      <formula2>1E+33</formula2>
    </dataValidation>
    <dataValidation type="whole" allowBlank="1" showInputMessage="1" showErrorMessage="1" sqref="G8">
      <formula1>0</formula1>
      <formula2>1E+33</formula2>
    </dataValidation>
    <dataValidation type="whole" allowBlank="1" showInputMessage="1" showErrorMessage="1" promptTitle="PASIVIDAD" prompt="DIGITA AQUÍ DONDE ESTAS PARADO, EL IMPORTE DE TU PASIVIDAD NOMINAL, SIN DECIMALES Y SIN AGREGAR PUNTOS O COMAS. " sqref="G26">
      <formula1>0</formula1>
      <formula2>1E+37</formula2>
    </dataValidation>
    <dataValidation type="whole" allowBlank="1" showInputMessage="1" showErrorMessage="1" promptTitle="SUELDO" prompt="DIGITÁ AQUÍ DONDE ESTAS POSICIONADO, TU SUELDO NOMINAL O BRUTO SIN RESTARLE NINGUNA PARTIDA, (VER HOJA GUIA TRABAJADOR.&#10;INGRESALO SIN DECIMALES Y SIN AGREGAR PUNTOS O COMAS." errorTitle="Dato no válido" error="Solo podrás ingresar números enteros, sin decimales. Tampoco digites puntos o comas." sqref="G5">
      <formula1>0</formula1>
      <formula2>1E+36</formula2>
    </dataValidation>
    <dataValidation allowBlank="1" showInputMessage="1" showErrorMessage="1" promptTitle="B.P.C." prompt="Ingresar el valor actual de la Base de Prestaciones y Contribuciones, decretada por el Poder Ejecutivo" sqref="F55"/>
    <dataValidation type="whole" allowBlank="1" showInputMessage="1" showErrorMessage="1" promptTitle="PENSION" prompt="DIGITAR EL IMPORTE DE TU PENSIÓN NOMINAL, SIN DECIMALES. TAMPOCO DIGITES PUNTOS O COMAS.&#10;EN CASO DE TENER MAS DE UNA PENSIÓN, INGRESAR UNA POR CELDA.&#10;VER HOJA DE GUIA PENSIÓN." errorTitle="Dato no válido." error="Solo podras ingresar números enteros, sin decimales, puntos o comas" sqref="G29">
      <formula1>0</formula1>
      <formula2>1E+37</formula2>
    </dataValidation>
    <dataValidation type="whole" allowBlank="1" showInputMessage="1" showErrorMessage="1" promptTitle="JUBILACIÓN" prompt="DIGITAR AQUÍ, EL IMPORTE DE TU JUBILACIÓN NOMINAL, SIN DECIMALES Y SIN AGREGAR PUNTOS O COMAS. &#10;EN CASO DE TENER MAS DE UNA JUBILACIÓN, INGRESAR UNA JUBILACIÓN POR CELDA.&#10;VER HOJA DE GUIA JUBILACIÓN." errorTitle="Dato no válido" error="Solo podras ingresar números enteros, sin decimales, puntos o comas." sqref="G25">
      <formula1>0</formula1>
      <formula2>1E+37</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errorTitle="Dato no válido" error="Debes ingresar un número entero, sin decimilas, ni comas ni puntos." sqref="G10">
      <formula1>0</formula1>
      <formula2>1E+33</formula2>
    </dataValidation>
    <dataValidation type="whole" allowBlank="1" showInputMessage="1" showErrorMessage="1" promptTitle="BRUTO SIN PARTIDAS NO GRAVADAS" prompt="Ingresá tu SUELDO NOMINAL restandole al mismo las partidas no gravadas por el B.P.S. Por ejemplo: TICKETS ALIMENTACIÒN, TICKETS TRANSPORTE,  SEGUNDO AGUINALDO y otros, (ver hoja GUIA TRABAJADOR, punto 3). &#10;Ingresá el monto sin decimales, puntos o comas." errorTitle="Dato no válido" error="Debes ingresar un número entero, sin decimilas, ni comas ni puntos." sqref="G12">
      <formula1>0</formula1>
      <formula2>1E+33</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VER HOJA GUIA TRABAJADOR, punto 3). Ingresalo sin decimales, puntos o comas." errorTitle="Dato no válido" error="Debes ingresar un número entero, sin decimilas, ni comas ni puntos." sqref="G9">
      <formula1>0</formula1>
      <formula2>1E+33</formula2>
    </dataValidation>
    <dataValidation type="whole" allowBlank="1" showInputMessage="1" showErrorMessage="1" promptTitle="APORTES a CAJA de PROFESIONALES " prompt="Ingresar el aporte mensual a la CAJA DE JUBILACIONES y PENSIONES DE PROFESIONALES UNIVERSITARIOS." errorTitle="Dato no válido" error="Debe ingresar un número entero." sqref="C21">
      <formula1>1</formula1>
      <formula2>1000000000000000000</formula2>
    </dataValidation>
    <dataValidation type="whole" allowBlank="1" showInputMessage="1" showErrorMessage="1" promptTitle="REINTEGROS CAJA PROFESIONAL" prompt="Ingresar el importe mensual de los REINTEGROS de CAJA DE JUBILACIONES Y PENSIONES DE PROFESIONALES UNIVERSITARIOS." errorTitle="Dato no válido" error="Ingresar un número entero, sin puntos ni comas." sqref="F21">
      <formula1>1</formula1>
      <formula2>10000000000000000000</formula2>
    </dataValidation>
    <dataValidation type="whole" allowBlank="1" showInputMessage="1" showErrorMessage="1" promptTitle="FONDO DE SOLIDARIDAD" prompt="Ingresar la cifra anual que se paga por concepto de Fondo de Solidaridad. En caso de los Técnicos de Administración es la mitad de una B.P.C." errorTitle="Dato no válido" error="Debe ingresar un número entero." sqref="C20">
      <formula1>1</formula1>
      <formula2>1000000000000000000</formula2>
    </dataValidation>
    <dataValidation type="whole" allowBlank="1" showInputMessage="1" showErrorMessage="1" promptTitle="ADICIONAL F.de SOLIDARIDAD" prompt="Ingresar el importe anual por concepto de adicional del FONDO de SOLIDARIDAD" errorTitle="Dato no válido" error="Ingresar un número entero" sqref="F20">
      <formula1>1</formula1>
      <formula2>10000000000000000000</formula2>
    </dataValidation>
    <dataValidation type="whole" allowBlank="1" showInputMessage="1" showErrorMessage="1" promptTitle="MULTIEMPLEO PUBLICO" prompt="Registrar un sueldo por empresa y por celda." errorTitle="Dato no válidoc" error="Debes ingresar un número entero, sin puntos ni comas." sqref="D9:E9">
      <formula1>0</formula1>
      <formula2>1000000000000000000</formula2>
    </dataValidation>
    <dataValidation type="whole" allowBlank="1" showInputMessage="1" showErrorMessage="1" promptTitle="MULTIEMPLEO PRIVADO" prompt="Registrar un sueldo por empresa y por celda." errorTitle="Dato no válido" error="Tienes que ingresar un número entero, sin puntos ni comas." sqref="B12:F12">
      <formula1>0</formula1>
      <formula2>1E+22</formula2>
    </dataValidation>
    <dataValidation type="whole" allowBlank="1" showInputMessage="1" showErrorMessage="1" promptTitle="MULTI-JUBILACIÓN" prompt="Registrar una jubilación por celda." errorTitle="Dato no válido" error="Ingresar un número entero, sin comas ni puntos." sqref="D25:E25">
      <formula1>0</formula1>
      <formula2>1000000000000000000</formula2>
    </dataValidation>
    <dataValidation type="whole" allowBlank="1" showInputMessage="1" showErrorMessage="1" promptTitle="MULTI-PENSIÓN" prompt="Ingresar una pensión por celda" errorTitle="Dato no válido" error="Ingresar un número entero, sin puntos ni comas." sqref="D29:E29">
      <formula1>0</formula1>
      <formula2>10000000000000000</formula2>
    </dataValidation>
    <dataValidation type="whole" allowBlank="1" showInputMessage="1" showErrorMessage="1" promptTitle="REGIMEN NUEVO O DE TRANSICIÓN" prompt="Se debe marcar 1 en caso de NUEVO REGIMEN.&#10;Se debe marcar 2 en caso de REGIMEN de TRANSICIÓN." errorTitle="Dato no válido" error="Solo se puede ingresar el valor 1 o el valor 2" sqref="G7">
      <formula1>1</formula1>
      <formula2>2</formula2>
    </dataValidation>
    <dataValidation type="whole" allowBlank="1" showInputMessage="1" showErrorMessage="1" sqref="F46:G46">
      <formula1>0</formula1>
      <formula2>10000000000000000</formula2>
    </dataValidation>
    <dataValidation type="whole" allowBlank="1" showInputMessage="1" showErrorMessage="1" sqref="G27">
      <formula1>0</formula1>
      <formula2>1E+37</formula2>
    </dataValidation>
    <dataValidation type="whole" allowBlank="1" showInputMessage="1" showErrorMessage="1" promptTitle="SUELDO NOMINAL" prompt="DEBE INGRESAR EL SUELDO NOMINAL SIN RESTAR NINGUNA PARTIDA. (VER GUIA TRABAJADOR)" errorTitle="Dato no válido" error="Debe ingresar un número entero, sin comas ni puntos." sqref="G4">
      <formula1>0</formula1>
      <formula2>1E+23</formula2>
    </dataValidation>
    <dataValidation type="whole" allowBlank="1" showInputMessage="1" showErrorMessage="1" promptTitle="HIJOS MENORES DE 18 AÑOS" prompt="DIGITÁ AQUÍ DONDE ESTAS POSICIONADO, 1 SI TENES HIJOS MENORES DE 18 AÑOS O DISCAPACITADOS DE CUALQUIER EDAD A TU CARGO. DE LO CONTRARIO DIGITAR 0." errorTitle="Dato no válido" error="Solo podrás ingresar 1 o 0." sqref="G6">
      <formula1>0</formula1>
      <formula2>1</formula2>
    </dataValidation>
    <dataValidation type="whole" allowBlank="1" showInputMessage="1" showErrorMessage="1" promptTitle="B.P.C." prompt="Ingresar el valor de la BASE de PRESTACIONES y CONTRIBUCIONES. Ingresar el valor vigente, decretado por el Poder Ejecutivo. Varía en cada ocación de aumento de salarios a los funcionarios públicos." errorTitle="Dato no válido" error="Ingresar una cifra entera, sin decimales ni puntos ni comas." sqref="E122">
      <formula1>0</formula1>
      <formula2>1000000000000</formula2>
    </dataValidation>
    <dataValidation type="decimal" allowBlank="1" showInputMessage="1" showErrorMessage="1" promptTitle="TOPE CUOTA MUTUAL" prompt="Ingresar en esta celda el valor establecido por el Poder Ejecutivo, que hace de tope para poseer el derecho a la cuota mutual, para aquellas personas que se jubilaron como empleados en su última actividad laboral." errorTitle="Dato no válido" error="Debe ingresar un número con hasta dos decimales." sqref="E128">
      <formula1>0</formula1>
      <formula2>10000000000000</formula2>
    </dataValidation>
    <dataValidation allowBlank="1" showInputMessage="1" showErrorMessage="1" promptTitle="TOPE TERCER NIVEL, LEY 16713" prompt="Establecer el valor que fija el Poder Ejecutivo, como tope del aporte personal jubilatorio, para aquellas personas que están dentro del nuevo régimen, (solidaridad intergeneracional y AFAP)" sqref="E131"/>
  </dataValidations>
  <printOptions/>
  <pageMargins left="0.75" right="0.75" top="1" bottom="1" header="0" footer="0"/>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3:G131"/>
  <sheetViews>
    <sheetView workbookViewId="0" topLeftCell="B3">
      <selection activeCell="J8" sqref="J8"/>
    </sheetView>
  </sheetViews>
  <sheetFormatPr defaultColWidth="11.421875" defaultRowHeight="12.75"/>
  <cols>
    <col min="1" max="1" width="17.00390625" style="0" hidden="1" customWidth="1"/>
    <col min="2" max="2" width="18.140625" style="0" customWidth="1"/>
    <col min="3" max="3" width="15.57421875" style="0" customWidth="1"/>
    <col min="4" max="4" width="17.421875" style="0" customWidth="1"/>
    <col min="5" max="5" width="19.57421875" style="0" customWidth="1"/>
    <col min="6" max="6" width="13.00390625" style="0" customWidth="1"/>
    <col min="7" max="7" width="18.8515625" style="0" customWidth="1"/>
  </cols>
  <sheetData>
    <row r="1" ht="12.75" hidden="1"/>
    <row r="2" ht="13.5" hidden="1" thickBot="1"/>
    <row r="3" spans="3:5" ht="27" thickBot="1" thickTop="1">
      <c r="C3" s="478" t="s">
        <v>27</v>
      </c>
      <c r="D3" s="479"/>
      <c r="E3" s="480"/>
    </row>
    <row r="4" spans="2:7" ht="21.75" thickBot="1" thickTop="1">
      <c r="B4" s="481" t="s">
        <v>33</v>
      </c>
      <c r="C4" s="482"/>
      <c r="D4" s="482"/>
      <c r="E4" s="482"/>
      <c r="F4" s="483"/>
      <c r="G4" s="273"/>
    </row>
    <row r="5" spans="2:7" ht="24" hidden="1" thickBot="1" thickTop="1">
      <c r="B5" s="11"/>
      <c r="C5" s="11"/>
      <c r="D5" s="11"/>
      <c r="E5" s="23"/>
      <c r="F5" s="11"/>
      <c r="G5" s="274"/>
    </row>
    <row r="6" spans="2:7" ht="30" customHeight="1" thickBot="1" thickTop="1">
      <c r="B6" s="484" t="s">
        <v>102</v>
      </c>
      <c r="C6" s="485"/>
      <c r="D6" s="485"/>
      <c r="E6" s="485"/>
      <c r="F6" s="486"/>
      <c r="G6" s="275"/>
    </row>
    <row r="7" spans="2:7" ht="30" customHeight="1" thickBot="1">
      <c r="B7" s="487" t="s">
        <v>103</v>
      </c>
      <c r="C7" s="488"/>
      <c r="D7" s="488"/>
      <c r="E7" s="488"/>
      <c r="F7" s="489"/>
      <c r="G7" s="276"/>
    </row>
    <row r="8" spans="2:7" ht="30" customHeight="1" thickBot="1" thickTop="1">
      <c r="B8" s="466" t="s">
        <v>57</v>
      </c>
      <c r="C8" s="467"/>
      <c r="D8" s="467"/>
      <c r="E8" s="467"/>
      <c r="F8" s="468"/>
      <c r="G8" s="162"/>
    </row>
    <row r="9" spans="1:7" ht="21.75" thickBot="1" thickTop="1">
      <c r="A9" s="293">
        <f>D9+E9+G9</f>
        <v>0</v>
      </c>
      <c r="B9" s="48"/>
      <c r="C9" s="48"/>
      <c r="D9" s="151"/>
      <c r="E9" s="152"/>
      <c r="F9" s="48"/>
      <c r="G9" s="153"/>
    </row>
    <row r="10" spans="2:7" ht="21.75" hidden="1" thickBot="1">
      <c r="B10" s="144"/>
      <c r="C10" s="48"/>
      <c r="D10" s="48"/>
      <c r="E10" s="48"/>
      <c r="F10" s="48"/>
      <c r="G10" s="12"/>
    </row>
    <row r="11" spans="2:7" ht="30" customHeight="1" thickBot="1" thickTop="1">
      <c r="B11" s="469" t="s">
        <v>63</v>
      </c>
      <c r="C11" s="470"/>
      <c r="D11" s="470"/>
      <c r="E11" s="470"/>
      <c r="F11" s="471"/>
      <c r="G11" s="162"/>
    </row>
    <row r="12" spans="1:7" ht="21.75" thickBot="1" thickTop="1">
      <c r="A12" s="293">
        <f>B12+C12+D12+E12+F12+G12</f>
        <v>0</v>
      </c>
      <c r="B12" s="141"/>
      <c r="C12" s="140"/>
      <c r="D12" s="141"/>
      <c r="E12" s="140"/>
      <c r="F12" s="142"/>
      <c r="G12" s="131"/>
    </row>
    <row r="13" spans="2:7" ht="26.25" thickBot="1">
      <c r="B13" s="472" t="s">
        <v>27</v>
      </c>
      <c r="C13" s="473"/>
      <c r="D13" s="473"/>
      <c r="E13" s="473"/>
      <c r="F13" s="474"/>
      <c r="G13" s="162"/>
    </row>
    <row r="14" spans="2:7" ht="21.75" thickBot="1" thickTop="1">
      <c r="B14" s="475" t="s">
        <v>60</v>
      </c>
      <c r="C14" s="476"/>
      <c r="D14" s="476"/>
      <c r="E14" s="476"/>
      <c r="F14" s="477"/>
      <c r="G14" s="127"/>
    </row>
    <row r="15" spans="2:7" ht="21.75" hidden="1" thickBot="1" thickTop="1">
      <c r="B15" s="145"/>
      <c r="C15" s="277"/>
      <c r="D15" s="277"/>
      <c r="E15" s="277"/>
      <c r="F15" s="277"/>
      <c r="G15" s="128"/>
    </row>
    <row r="16" spans="2:7" ht="30" customHeight="1" thickBot="1" thickTop="1">
      <c r="B16" s="460" t="s">
        <v>61</v>
      </c>
      <c r="C16" s="461"/>
      <c r="D16" s="461"/>
      <c r="E16" s="461"/>
      <c r="F16" s="462"/>
      <c r="G16" s="173"/>
    </row>
    <row r="17" spans="2:7" ht="21.75" hidden="1" thickBot="1" thickTop="1">
      <c r="B17" s="150"/>
      <c r="C17" s="150"/>
      <c r="D17" s="150"/>
      <c r="E17" s="150"/>
      <c r="F17" s="150"/>
      <c r="G17" s="129"/>
    </row>
    <row r="18" spans="2:7" ht="27" thickBot="1" thickTop="1">
      <c r="B18" s="453" t="s">
        <v>27</v>
      </c>
      <c r="C18" s="454"/>
      <c r="D18" s="454"/>
      <c r="E18" s="454"/>
      <c r="F18" s="455"/>
      <c r="G18" s="162"/>
    </row>
    <row r="19" spans="2:7" ht="18" thickBot="1" thickTop="1">
      <c r="B19" s="463" t="s">
        <v>43</v>
      </c>
      <c r="C19" s="464"/>
      <c r="D19" s="464"/>
      <c r="E19" s="464"/>
      <c r="F19" s="465"/>
      <c r="G19" s="163"/>
    </row>
    <row r="20" spans="2:7" ht="28.5" thickBot="1" thickTop="1">
      <c r="B20" s="174" t="s">
        <v>32</v>
      </c>
      <c r="C20" s="175"/>
      <c r="D20" s="26"/>
      <c r="E20" s="177" t="s">
        <v>34</v>
      </c>
      <c r="F20" s="175"/>
      <c r="G20" s="162"/>
    </row>
    <row r="21" spans="2:7" ht="24" thickBot="1" thickTop="1">
      <c r="B21" s="176" t="s">
        <v>55</v>
      </c>
      <c r="C21" s="175"/>
      <c r="D21" s="26"/>
      <c r="E21" s="178" t="s">
        <v>56</v>
      </c>
      <c r="F21" s="175"/>
      <c r="G21" s="162"/>
    </row>
    <row r="22" spans="2:7" ht="21.75" hidden="1" thickBot="1">
      <c r="B22" s="26"/>
      <c r="C22" s="26"/>
      <c r="D22" s="26"/>
      <c r="E22" s="25"/>
      <c r="F22" s="25"/>
      <c r="G22" s="162"/>
    </row>
    <row r="23" spans="2:7" ht="27" hidden="1" thickBot="1" thickTop="1">
      <c r="B23" s="26"/>
      <c r="C23" s="453" t="s">
        <v>28</v>
      </c>
      <c r="D23" s="454"/>
      <c r="E23" s="455"/>
      <c r="F23" s="25"/>
      <c r="G23" s="162"/>
    </row>
    <row r="24" spans="2:7" ht="18" hidden="1" thickBot="1" thickTop="1">
      <c r="B24" s="450" t="s">
        <v>58</v>
      </c>
      <c r="C24" s="451"/>
      <c r="D24" s="451"/>
      <c r="E24" s="451"/>
      <c r="F24" s="451"/>
      <c r="G24" s="452"/>
    </row>
    <row r="25" spans="1:7" ht="22.5" hidden="1" thickBot="1" thickTop="1">
      <c r="A25" s="294">
        <f>D25+E25+G25</f>
        <v>0</v>
      </c>
      <c r="B25" s="19"/>
      <c r="C25" s="19"/>
      <c r="D25" s="146"/>
      <c r="E25" s="147"/>
      <c r="F25" s="19"/>
      <c r="G25" s="147"/>
    </row>
    <row r="26" spans="2:7" ht="25.5" hidden="1" thickBot="1">
      <c r="B26" s="19"/>
      <c r="C26" s="19"/>
      <c r="D26" s="19"/>
      <c r="E26" s="19"/>
      <c r="F26" s="19"/>
      <c r="G26" s="278"/>
    </row>
    <row r="27" spans="2:7" ht="27" hidden="1" thickBot="1" thickTop="1">
      <c r="B27" s="19"/>
      <c r="C27" s="453" t="s">
        <v>29</v>
      </c>
      <c r="D27" s="454"/>
      <c r="E27" s="455"/>
      <c r="F27" s="19"/>
      <c r="G27" s="161"/>
    </row>
    <row r="28" spans="2:7" ht="18" hidden="1" thickBot="1" thickTop="1">
      <c r="B28" s="450" t="s">
        <v>59</v>
      </c>
      <c r="C28" s="451"/>
      <c r="D28" s="451"/>
      <c r="E28" s="451"/>
      <c r="F28" s="451"/>
      <c r="G28" s="452"/>
    </row>
    <row r="29" spans="1:7" ht="22.5" hidden="1" thickBot="1" thickTop="1">
      <c r="A29" s="294">
        <f>D29+E29+G29</f>
        <v>0</v>
      </c>
      <c r="B29" s="19"/>
      <c r="C29" s="19"/>
      <c r="D29" s="148"/>
      <c r="E29" s="148"/>
      <c r="F29" s="139"/>
      <c r="G29" s="148"/>
    </row>
    <row r="30" spans="2:7" ht="17.25" hidden="1" thickBot="1">
      <c r="B30" s="25"/>
      <c r="C30" s="25"/>
      <c r="D30" s="25"/>
      <c r="E30" s="25"/>
      <c r="F30" s="24"/>
      <c r="G30" s="24"/>
    </row>
    <row r="31" spans="2:7" ht="24.75" thickBot="1" thickTop="1">
      <c r="B31" s="456" t="s">
        <v>104</v>
      </c>
      <c r="C31" s="457"/>
      <c r="D31" s="457"/>
      <c r="E31" s="458"/>
      <c r="F31" s="459"/>
      <c r="G31" s="459"/>
    </row>
    <row r="32" spans="2:7" ht="17.25" thickBot="1" thickTop="1">
      <c r="B32" s="154" t="s">
        <v>5</v>
      </c>
      <c r="C32" s="154" t="s">
        <v>8</v>
      </c>
      <c r="D32" s="155" t="s">
        <v>9</v>
      </c>
      <c r="E32" s="154" t="s">
        <v>88</v>
      </c>
      <c r="F32" s="51"/>
      <c r="G32" s="130" t="s">
        <v>5</v>
      </c>
    </row>
    <row r="33" spans="1:7" ht="16.5" thickBot="1">
      <c r="A33">
        <f>G33</f>
        <v>13608</v>
      </c>
      <c r="B33" s="60" t="s">
        <v>105</v>
      </c>
      <c r="C33" s="61">
        <f>G33</f>
        <v>13608</v>
      </c>
      <c r="D33" s="62">
        <v>0</v>
      </c>
      <c r="E33" s="63">
        <f aca="true" t="shared" si="0" ref="E33:E38">C33*D33</f>
        <v>0</v>
      </c>
      <c r="G33" s="55">
        <f>7*Parámetros!E32</f>
        <v>13608</v>
      </c>
    </row>
    <row r="34" spans="1:7" ht="16.5" thickBot="1">
      <c r="A34">
        <f>IF(C52&gt;=G34,G34-G33,C52-G33)</f>
        <v>-13608</v>
      </c>
      <c r="B34" s="64" t="s">
        <v>106</v>
      </c>
      <c r="C34" s="65">
        <f>IF(A34&lt;=0,0,A34)</f>
        <v>0</v>
      </c>
      <c r="D34" s="66">
        <v>0.1</v>
      </c>
      <c r="E34" s="67">
        <f t="shared" si="0"/>
        <v>0</v>
      </c>
      <c r="G34" s="56">
        <f>10*Parámetros!E32</f>
        <v>19440</v>
      </c>
    </row>
    <row r="35" spans="1:7" ht="16.5" thickBot="1">
      <c r="A35">
        <f>IF(C52&gt;=G35,G35-G34,C52-G34)</f>
        <v>-19440</v>
      </c>
      <c r="B35" s="68" t="s">
        <v>3</v>
      </c>
      <c r="C35" s="69">
        <f>IF(A35&lt;=0,0,A35)</f>
        <v>0</v>
      </c>
      <c r="D35" s="70">
        <v>0.15</v>
      </c>
      <c r="E35" s="71">
        <f t="shared" si="0"/>
        <v>0</v>
      </c>
      <c r="G35" s="57">
        <f>15*Parámetros!E32</f>
        <v>29160</v>
      </c>
    </row>
    <row r="36" spans="1:7" ht="16.5" thickBot="1">
      <c r="A36">
        <f>IF(C52&gt;=G36,G36-G35,C52-G35)</f>
        <v>-29160</v>
      </c>
      <c r="B36" s="72" t="s">
        <v>13</v>
      </c>
      <c r="C36" s="73">
        <f>IF(A36&lt;=0,0,A36)</f>
        <v>0</v>
      </c>
      <c r="D36" s="74">
        <v>0.2</v>
      </c>
      <c r="E36" s="75">
        <f t="shared" si="0"/>
        <v>0</v>
      </c>
      <c r="G36" s="58">
        <f>50*Parámetros!E32</f>
        <v>97200</v>
      </c>
    </row>
    <row r="37" spans="1:7" ht="16.5" thickBot="1">
      <c r="A37">
        <f>IF(C52&gt;=G37,G37-G36,C52-G36)</f>
        <v>-97200</v>
      </c>
      <c r="B37" s="76" t="s">
        <v>14</v>
      </c>
      <c r="C37" s="77">
        <f>IF(A37&lt;=0,0,A37)</f>
        <v>0</v>
      </c>
      <c r="D37" s="78">
        <v>0.22</v>
      </c>
      <c r="E37" s="79">
        <f t="shared" si="0"/>
        <v>0</v>
      </c>
      <c r="G37" s="59">
        <f>100*Parámetros!E32</f>
        <v>194400</v>
      </c>
    </row>
    <row r="38" spans="1:5" ht="16.5" thickBot="1">
      <c r="A38">
        <f>IF(C52&gt;G37,C52-G37,0)</f>
        <v>0</v>
      </c>
      <c r="B38" s="80" t="s">
        <v>15</v>
      </c>
      <c r="C38" s="279">
        <f>IF(A38&lt;=0,0,A38)</f>
        <v>0</v>
      </c>
      <c r="D38" s="280">
        <v>0.25</v>
      </c>
      <c r="E38" s="149">
        <f t="shared" si="0"/>
        <v>0</v>
      </c>
    </row>
    <row r="39" spans="3:7" ht="21.75" thickBot="1" thickTop="1">
      <c r="C39" s="442" t="s">
        <v>40</v>
      </c>
      <c r="D39" s="443"/>
      <c r="E39" s="281">
        <f>SUM(E34:E38)</f>
        <v>0</v>
      </c>
      <c r="F39" s="444"/>
      <c r="G39" s="444"/>
    </row>
    <row r="40" spans="3:7" ht="23.25" hidden="1" thickBot="1" thickTop="1">
      <c r="C40" s="283"/>
      <c r="D40" s="283"/>
      <c r="E40" s="284"/>
      <c r="F40" s="282"/>
      <c r="G40" s="282"/>
    </row>
    <row r="41" spans="2:7" ht="34.5" thickBot="1" thickTop="1">
      <c r="B41" s="445" t="s">
        <v>107</v>
      </c>
      <c r="C41" s="446"/>
      <c r="D41" s="446"/>
      <c r="E41" s="447"/>
      <c r="F41" s="448">
        <f>C51</f>
        <v>0</v>
      </c>
      <c r="G41" s="449"/>
    </row>
    <row r="42" spans="2:7" ht="21.75" hidden="1">
      <c r="B42" s="285"/>
      <c r="C42" s="286" t="s">
        <v>108</v>
      </c>
      <c r="D42" s="286"/>
      <c r="E42" s="287"/>
      <c r="F42" s="288"/>
      <c r="G42" s="288"/>
    </row>
    <row r="43" spans="3:7" ht="22.5" hidden="1" thickBot="1">
      <c r="C43" s="283"/>
      <c r="D43" s="283"/>
      <c r="E43" s="284"/>
      <c r="F43" s="282"/>
      <c r="G43" s="282"/>
    </row>
    <row r="44" spans="2:7" ht="39" thickBot="1" thickTop="1">
      <c r="B44" s="289" t="s">
        <v>104</v>
      </c>
      <c r="C44" s="433">
        <f>IF(E39-C119&lt;0,0,E39-C119)</f>
        <v>0</v>
      </c>
      <c r="D44" s="434"/>
      <c r="E44" s="290" t="s">
        <v>109</v>
      </c>
      <c r="F44" s="435">
        <f>C50</f>
        <v>0</v>
      </c>
      <c r="G44" s="436"/>
    </row>
    <row r="45" spans="6:7" ht="19.5" hidden="1" thickBot="1" thickTop="1">
      <c r="F45" s="27"/>
      <c r="G45" s="22"/>
    </row>
    <row r="46" spans="2:7" ht="42.75" hidden="1" thickBot="1" thickTop="1">
      <c r="B46" s="437" t="s">
        <v>30</v>
      </c>
      <c r="C46" s="438"/>
      <c r="D46" s="438"/>
      <c r="E46" s="439"/>
      <c r="F46" s="440" t="e">
        <f>E44-C55</f>
        <v>#VALUE!</v>
      </c>
      <c r="G46" s="441"/>
    </row>
    <row r="47" spans="3:7" ht="14.25" hidden="1" thickBot="1" thickTop="1">
      <c r="C47" s="1"/>
      <c r="G47" s="3"/>
    </row>
    <row r="48" spans="2:3" ht="16.5" hidden="1" thickBot="1">
      <c r="B48" s="41" t="s">
        <v>37</v>
      </c>
      <c r="C48" s="42">
        <f>IF(A12&gt;0,A12*0.125%,0)</f>
        <v>0</v>
      </c>
    </row>
    <row r="49" spans="2:6" ht="16.5" hidden="1" thickBot="1">
      <c r="B49" s="38" t="s">
        <v>120</v>
      </c>
      <c r="C49" s="40">
        <f>IF(A9&lt;=0,A12,A12+A9)</f>
        <v>0</v>
      </c>
      <c r="E49" s="428" t="s">
        <v>7</v>
      </c>
      <c r="F49" s="429"/>
    </row>
    <row r="50" spans="2:7" ht="16.5" hidden="1" thickBot="1">
      <c r="B50" s="39" t="s">
        <v>109</v>
      </c>
      <c r="C50" s="43">
        <f>IF(C49&lt;=G55,C49*3%,IF(G6&gt;0,C49*6%,C49*4.5%))</f>
        <v>0</v>
      </c>
      <c r="D50" s="172" t="s">
        <v>62</v>
      </c>
      <c r="E50" s="6">
        <v>0</v>
      </c>
      <c r="F50" s="20">
        <f>3*F55</f>
        <v>5832</v>
      </c>
      <c r="G50" s="168">
        <f>(F50+2)*1.02</f>
        <v>5950.68</v>
      </c>
    </row>
    <row r="51" spans="2:7" ht="16.5" hidden="1" thickBot="1">
      <c r="B51" s="96" t="s">
        <v>0</v>
      </c>
      <c r="C51" s="97">
        <f>E94</f>
        <v>0</v>
      </c>
      <c r="D51" s="42">
        <f>C51+C50+C48</f>
        <v>0</v>
      </c>
      <c r="E51" s="7">
        <v>0.02</v>
      </c>
      <c r="F51" s="21">
        <f>6*F55</f>
        <v>11664</v>
      </c>
      <c r="G51" s="168">
        <f>(F51+35)*1.06</f>
        <v>12400.94</v>
      </c>
    </row>
    <row r="52" spans="2:7" ht="16.5" hidden="1" thickBot="1">
      <c r="B52" s="90" t="s">
        <v>121</v>
      </c>
      <c r="C52" s="91">
        <f>G4</f>
        <v>0</v>
      </c>
      <c r="E52" s="8">
        <v>0.06</v>
      </c>
      <c r="F52" s="171">
        <f>(F55*6)+1</f>
        <v>11665</v>
      </c>
      <c r="G52" s="168">
        <f>(F51+4)*1.02</f>
        <v>11901.36</v>
      </c>
    </row>
    <row r="53" spans="2:7" ht="16.5" hidden="1" thickBot="1">
      <c r="B53" s="92" t="s">
        <v>41</v>
      </c>
      <c r="C53" s="93">
        <f>A25</f>
        <v>0</v>
      </c>
      <c r="E53" s="169"/>
      <c r="F53" s="170"/>
      <c r="G53" s="1"/>
    </row>
    <row r="54" spans="2:7" ht="16.5" hidden="1" thickBot="1">
      <c r="B54" s="94" t="s">
        <v>42</v>
      </c>
      <c r="C54" s="95">
        <f>A29</f>
        <v>0</v>
      </c>
      <c r="D54" s="291">
        <f>C53+C54</f>
        <v>0</v>
      </c>
      <c r="F54" s="2"/>
      <c r="G54" s="291" t="s">
        <v>110</v>
      </c>
    </row>
    <row r="55" spans="2:7" ht="21" hidden="1" thickBot="1">
      <c r="B55" s="98" t="s">
        <v>36</v>
      </c>
      <c r="C55" s="99" t="e">
        <f>#REF!+F44</f>
        <v>#REF!</v>
      </c>
      <c r="E55" s="35" t="s">
        <v>4</v>
      </c>
      <c r="F55" s="89">
        <f>Parámetros!E32</f>
        <v>1944</v>
      </c>
      <c r="G55" s="292">
        <f>2.5*F55</f>
        <v>4860</v>
      </c>
    </row>
    <row r="56" spans="2:3" ht="18.75" hidden="1" thickBot="1">
      <c r="B56" s="158" t="s">
        <v>54</v>
      </c>
      <c r="C56" s="159">
        <f>C48+C50+C51</f>
        <v>0</v>
      </c>
    </row>
    <row r="57" ht="13.5" hidden="1" thickBot="1"/>
    <row r="58" spans="2:5" ht="18.75" hidden="1" thickBot="1">
      <c r="B58" s="374" t="s">
        <v>12</v>
      </c>
      <c r="C58" s="375"/>
      <c r="D58" s="375"/>
      <c r="E58" s="376"/>
    </row>
    <row r="59" spans="2:7" ht="15.75" hidden="1" thickBot="1">
      <c r="B59" s="10" t="s">
        <v>5</v>
      </c>
      <c r="C59" s="9" t="s">
        <v>8</v>
      </c>
      <c r="D59" s="10" t="s">
        <v>9</v>
      </c>
      <c r="E59" s="10" t="s">
        <v>88</v>
      </c>
      <c r="G59" s="165"/>
    </row>
    <row r="60" spans="1:7" ht="12.75" hidden="1">
      <c r="A60">
        <f>G60</f>
        <v>15552</v>
      </c>
      <c r="B60" s="28" t="s">
        <v>111</v>
      </c>
      <c r="C60" s="13">
        <f>'[1]DEDUCCIONES'!D29*5</f>
        <v>0</v>
      </c>
      <c r="D60" s="4">
        <v>0</v>
      </c>
      <c r="E60" s="16">
        <f>C60*D60</f>
        <v>0</v>
      </c>
      <c r="G60" s="298">
        <f>8*Parámetros!E32</f>
        <v>15552</v>
      </c>
    </row>
    <row r="61" spans="1:7" ht="12.75" hidden="1">
      <c r="A61">
        <f>IF(D54&gt;=G61,G60,D54-G60)</f>
        <v>-15552</v>
      </c>
      <c r="B61" s="29" t="s">
        <v>112</v>
      </c>
      <c r="C61" s="14">
        <f>IF(A36&lt;=0,0,A36)</f>
        <v>0</v>
      </c>
      <c r="D61" s="5">
        <v>0.1</v>
      </c>
      <c r="E61" s="17">
        <f>C61*D61</f>
        <v>0</v>
      </c>
      <c r="G61" s="299">
        <f>15*Parámetros!E32</f>
        <v>29160</v>
      </c>
    </row>
    <row r="62" spans="1:7" ht="13.5" hidden="1" thickBot="1">
      <c r="A62">
        <f>IF(D54&gt;=G62,G60,D54-G61)</f>
        <v>-29160</v>
      </c>
      <c r="B62" s="29" t="s">
        <v>16</v>
      </c>
      <c r="C62" s="15">
        <f>IF(A37&lt;=0,0,A37)</f>
        <v>0</v>
      </c>
      <c r="D62" s="5">
        <v>0.15</v>
      </c>
      <c r="E62" s="17">
        <f>C62*D62</f>
        <v>0</v>
      </c>
      <c r="G62" s="300">
        <f>50*Parámetros!E32</f>
        <v>97200</v>
      </c>
    </row>
    <row r="63" spans="1:7" ht="13.5" hidden="1" thickBot="1">
      <c r="A63">
        <f>IF(D54&gt;G62,D54-G62,0)</f>
        <v>0</v>
      </c>
      <c r="B63" s="30" t="s">
        <v>17</v>
      </c>
      <c r="C63" s="31">
        <f>IF(A38&lt;=0,0,A38)</f>
        <v>0</v>
      </c>
      <c r="D63" s="32">
        <v>0.25</v>
      </c>
      <c r="E63" s="33">
        <f>C63*D63</f>
        <v>0</v>
      </c>
      <c r="G63" s="166"/>
    </row>
    <row r="64" spans="3:7" ht="18.75" hidden="1" thickBot="1">
      <c r="C64" s="374" t="s">
        <v>6</v>
      </c>
      <c r="D64" s="376"/>
      <c r="E64" s="18">
        <f>SUM(E61:E62)</f>
        <v>0</v>
      </c>
      <c r="G64" s="166"/>
    </row>
    <row r="65" spans="1:7" ht="12.75" hidden="1">
      <c r="A65" s="295"/>
      <c r="B65" s="295"/>
      <c r="C65" s="27"/>
      <c r="D65" s="27"/>
      <c r="E65" s="296"/>
      <c r="F65" s="295"/>
      <c r="G65" s="297"/>
    </row>
    <row r="66" spans="1:7" ht="12.75" hidden="1">
      <c r="A66" s="295"/>
      <c r="B66" s="295"/>
      <c r="C66" s="27"/>
      <c r="D66" s="27"/>
      <c r="E66" s="296"/>
      <c r="F66" s="295"/>
      <c r="G66" s="297"/>
    </row>
    <row r="67" ht="12.75" hidden="1">
      <c r="G67" s="27"/>
    </row>
    <row r="68" ht="12.75" hidden="1">
      <c r="G68" s="27"/>
    </row>
    <row r="69" ht="13.5" hidden="1" thickBot="1">
      <c r="G69" s="166"/>
    </row>
    <row r="70" spans="2:7" ht="16.5" hidden="1" thickBot="1">
      <c r="B70" s="135" t="s">
        <v>44</v>
      </c>
      <c r="C70" s="136"/>
      <c r="D70" s="137"/>
      <c r="G70" s="167"/>
    </row>
    <row r="71" ht="13.5" hidden="1" thickBot="1">
      <c r="C71" s="132"/>
    </row>
    <row r="72" spans="3:7" ht="13.5" hidden="1" thickBot="1">
      <c r="C72" s="264">
        <f>IF(B12&gt;G51,B12*6%,(IF(B12&lt;=F50,0,IF(AND(B12&gt;F50,B12&lt;=G50),B12*2%-(F50-(B12-(B12*2%))),IF(AND(B12&gt;F51,B12&lt;=G51),B12*6%-(I51-(B12-(B12*6%))),B12*2%)))))</f>
        <v>0</v>
      </c>
      <c r="E72" s="133" t="s">
        <v>46</v>
      </c>
      <c r="G72" s="164"/>
    </row>
    <row r="73" spans="3:7" ht="16.5" hidden="1" thickBot="1">
      <c r="C73" s="264">
        <f>IF(C12&gt;G51,C12*6%,(IF(C12&lt;=F50,0,IF(AND(C12&gt;F50,C12&lt;=G50),C12*2%-(F50-(C12-(C12*2%))),IF(AND(C12&gt;F51,C12&lt;=G51),C12*6%-(I51-(C12-(C12*6%))),C12*2%)))))</f>
        <v>0</v>
      </c>
      <c r="E73" s="93">
        <f>IF(G25&gt;G52,G25*2%,(IF(G25&lt;=F51,0,G25-F51)))+IF(E25&gt;G52,E25*2%,(IF(E25&lt;=F51,0,E25-F51)))+IF(D25&gt;G52,D25*2%,(IF(D25&lt;=F51,0,D25-F51)))</f>
        <v>0</v>
      </c>
      <c r="G73" s="164"/>
    </row>
    <row r="74" spans="3:7" ht="13.5" hidden="1" thickBot="1">
      <c r="C74" s="264">
        <f>IF(D12&gt;G51,D12*6%,(IF(D12&lt;=F50,0,IF(AND(D12&gt;F50,D12&lt;=G50),D12*2%-(F50-(D12-(D12*2%))),IF(AND(D12&gt;F51,D12&lt;=G51),D12*6%-(I51-(D12-(D12*6%))),D12*2%)))))</f>
        <v>0</v>
      </c>
      <c r="G74" s="164"/>
    </row>
    <row r="75" spans="3:5" ht="13.5" hidden="1" thickBot="1">
      <c r="C75" s="264">
        <f>IF(E12&gt;G51,E12*6%,(IF(E12&lt;=F50,0,IF(AND(E12&gt;F50,E12&lt;=G50),E12*2%-(F50-(E12-(E12*2%))),IF(AND(E12&gt;F51,E12&lt;=G51),E12*6%-(I51-(E12-(E12*6%))),E12*2%)))))</f>
        <v>0</v>
      </c>
      <c r="E75" s="134" t="s">
        <v>47</v>
      </c>
    </row>
    <row r="76" spans="3:7" ht="16.5" hidden="1" thickBot="1">
      <c r="C76" s="264">
        <f>IF(F12&gt;G51,F12*6%,(IF(F12&lt;=F50,0,IF(AND(F12&gt;F50,F12&lt;=G50),F12*2%-(F50-(F12-(F12*2%))),IF(AND(F12&gt;F51,F12&lt;=G51),F12*6%-(I51-(F12-(F12*6%))),F12*2%)))))</f>
        <v>0</v>
      </c>
      <c r="E76" s="270">
        <f>IF(G29&gt;G52,G29*2%,(IF(G29&lt;=F51,0,G29-F51)))+IF(E29&gt;G52,E29*2%,(IF(E29&lt;=F51,0,E29-F51)))+IF(D29&gt;G52,D29*2%,(IF(D29&lt;=F51,0,D29-F51)))</f>
        <v>0</v>
      </c>
      <c r="G76" s="164"/>
    </row>
    <row r="77" ht="13.5" hidden="1" thickBot="1">
      <c r="C77" s="264">
        <f>IF(G12&gt;G51,G12*6%,(IF(G12&lt;=F50,0,IF(AND(G12&gt;F50,G12&lt;=G50),G12*2%-(F50-(G12-(G12*2%))),IF(AND(G12&gt;F51,G12&lt;=G51),G12*6%-(I51-(G12-(G12*6%))),G12*2%)))))</f>
        <v>0</v>
      </c>
    </row>
    <row r="78" spans="2:3" ht="18.75" hidden="1" thickBot="1">
      <c r="B78" s="138" t="s">
        <v>45</v>
      </c>
      <c r="C78" s="265">
        <f>SUM(C72:C77)</f>
        <v>0</v>
      </c>
    </row>
    <row r="79" ht="13.5" hidden="1" thickBot="1"/>
    <row r="80" spans="2:4" ht="16.5" hidden="1" thickBot="1">
      <c r="B80" s="430" t="s">
        <v>48</v>
      </c>
      <c r="C80" s="431"/>
      <c r="D80" s="432"/>
    </row>
    <row r="81" ht="12.75" hidden="1">
      <c r="C81" s="266">
        <f>IF(G9&gt;G51,G9*6%,(IF(G9&lt;=F50,0,IF(AND(G9&gt;F50,G9&lt;=G50),G9*2%-(F50-(G9-(G9*2%))),IF(AND(G9&gt;F51,G9&lt;=G51),G9*6%-(I51-(G9-(G9*6%))),G9*2%)))))</f>
        <v>0</v>
      </c>
    </row>
    <row r="82" ht="12.75" hidden="1">
      <c r="C82" s="267">
        <f>IF(E9&gt;G51,E9*6%,(IF(E9&lt;=F50,0,IF(AND(E9&gt;F50,E9&lt;=G50),E9*2%-(F50-(E9-(E9*2%))),IF(AND(E9&gt;F51,E9&lt;=G51),E9*6%-(I51-(E9-(E9*6%))),E9*2%)))))</f>
        <v>0</v>
      </c>
    </row>
    <row r="83" ht="13.5" hidden="1" thickBot="1">
      <c r="C83" s="268">
        <f>IF(D9&gt;G51,D9*6%,(IF(D9&lt;=F50,0,IF(AND(D9&gt;F50,D9&lt;=G50),D9*2%-(F50-(D9-(D9*2%))),IF(AND(D9&gt;F51,D9&lt;=G51),D9*6%-(I51-(D9-(D9*6%))),D9*2%)))))</f>
        <v>0</v>
      </c>
    </row>
    <row r="84" spans="2:3" ht="18.75" hidden="1" thickBot="1">
      <c r="B84" s="143" t="s">
        <v>45</v>
      </c>
      <c r="C84" s="269">
        <f>SUM(C81:C83)</f>
        <v>0</v>
      </c>
    </row>
    <row r="85" ht="12.75" hidden="1"/>
    <row r="86" ht="12.75" hidden="1"/>
    <row r="87" ht="12.75" hidden="1"/>
    <row r="88" ht="13.5" hidden="1" thickBot="1"/>
    <row r="89" spans="3:5" ht="13.5" hidden="1" thickBot="1">
      <c r="C89" s="418" t="s">
        <v>49</v>
      </c>
      <c r="D89" s="419"/>
      <c r="E89" s="86">
        <f>Parámetros!E57</f>
        <v>59414</v>
      </c>
    </row>
    <row r="90" ht="13.5" hidden="1" thickBot="1"/>
    <row r="91" spans="4:5" ht="16.5" hidden="1" thickBot="1">
      <c r="D91" s="85" t="s">
        <v>50</v>
      </c>
      <c r="E91" s="156">
        <f>C49*15%</f>
        <v>0</v>
      </c>
    </row>
    <row r="92" spans="4:5" ht="16.5" hidden="1" thickBot="1">
      <c r="D92" s="85" t="s">
        <v>51</v>
      </c>
      <c r="E92" s="156">
        <f>IF(C49&lt;=E89,C49*15%,E89*15%)</f>
        <v>0</v>
      </c>
    </row>
    <row r="93" ht="13.5" hidden="1" thickBot="1">
      <c r="E93" s="1"/>
    </row>
    <row r="94" spans="4:5" ht="18.75" hidden="1" thickBot="1">
      <c r="D94" s="85" t="s">
        <v>53</v>
      </c>
      <c r="E94" s="157">
        <f>IF(G7=1,E92,E91)</f>
        <v>0</v>
      </c>
    </row>
    <row r="95" ht="13.5" hidden="1" thickBot="1"/>
    <row r="96" spans="2:7" ht="27.75" hidden="1" thickBot="1" thickTop="1">
      <c r="B96" s="420" t="s">
        <v>22</v>
      </c>
      <c r="C96" s="421"/>
      <c r="D96" s="421"/>
      <c r="E96" s="421"/>
      <c r="F96" s="421"/>
      <c r="G96" s="184">
        <f>C119</f>
        <v>0</v>
      </c>
    </row>
    <row r="97" ht="13.5" hidden="1" thickBot="1"/>
    <row r="98" spans="2:4" ht="21" hidden="1" thickBot="1">
      <c r="B98" s="397" t="s">
        <v>11</v>
      </c>
      <c r="C98" s="398"/>
      <c r="D98" s="399"/>
    </row>
    <row r="99" spans="2:5" ht="18.75" hidden="1" thickBot="1">
      <c r="B99" s="422" t="s">
        <v>64</v>
      </c>
      <c r="C99" s="423"/>
      <c r="D99" s="424"/>
      <c r="E99" s="215">
        <f>Parámetros!E4</f>
        <v>2106</v>
      </c>
    </row>
    <row r="100" ht="13.5" hidden="1" thickBot="1"/>
    <row r="101" spans="2:4" ht="21" hidden="1" thickBot="1">
      <c r="B101" s="403" t="s">
        <v>11</v>
      </c>
      <c r="C101" s="404"/>
      <c r="D101" s="405"/>
    </row>
    <row r="102" spans="2:5" ht="18.75" hidden="1" thickBot="1">
      <c r="B102" s="425" t="s">
        <v>114</v>
      </c>
      <c r="C102" s="426"/>
      <c r="D102" s="427"/>
      <c r="E102" s="126">
        <f>Parámetros!E9</f>
        <v>4212</v>
      </c>
    </row>
    <row r="103" ht="13.5" hidden="1" thickBot="1"/>
    <row r="104" spans="1:7" ht="16.5" hidden="1" thickBot="1">
      <c r="A104" s="382" t="s">
        <v>23</v>
      </c>
      <c r="B104" s="396"/>
      <c r="C104" s="383"/>
      <c r="E104" s="382" t="s">
        <v>25</v>
      </c>
      <c r="F104" s="396"/>
      <c r="G104" s="383"/>
    </row>
    <row r="105" spans="2:6" ht="18.75" hidden="1" thickBot="1">
      <c r="B105" s="46">
        <f>IF(G5=0,0,(E94+C50+C48+(C20/12)+(F20/12)+C21+F21+(G14*E99)+(G16*E102)))</f>
        <v>0</v>
      </c>
      <c r="E105" s="84">
        <f>IF(A25&gt;E128,A25*1%,A25*3%)</f>
        <v>0</v>
      </c>
      <c r="F105" s="49">
        <f>IF(A25&lt;=0,0,IF(AND(A29&lt;=0,B105&lt;=0),F108,IF(AND(A29&lt;=0,E105&gt;0),E102+E105,F108)))</f>
        <v>0</v>
      </c>
    </row>
    <row r="106" spans="2:6" ht="18.75" hidden="1" thickBot="1">
      <c r="B106" s="87"/>
      <c r="E106" s="88"/>
      <c r="F106" s="49"/>
    </row>
    <row r="107" ht="13.5" hidden="1" thickBot="1"/>
    <row r="108" spans="1:6" ht="16.5" hidden="1" thickBot="1">
      <c r="A108" s="83"/>
      <c r="C108" s="382" t="s">
        <v>26</v>
      </c>
      <c r="D108" s="383"/>
      <c r="E108" s="85">
        <f>IF(G5&lt;=0,(C20/12)+(F20/12)+C21+F21+G14*E99+G16*E102,0)</f>
        <v>0</v>
      </c>
      <c r="F108" s="86">
        <f>E108+E105+E102</f>
        <v>4212</v>
      </c>
    </row>
    <row r="109" spans="3:4" ht="21" hidden="1" thickBot="1">
      <c r="C109" s="384">
        <f>IF(A29&lt;=0,0,IF(AND(A25&lt;=0,B105&lt;=0),F108,IF(AND(A25&lt;=0,B105&gt;0),F108,0)))</f>
        <v>0</v>
      </c>
      <c r="D109" s="385"/>
    </row>
    <row r="110" spans="3:4" ht="21" hidden="1" thickBot="1">
      <c r="C110" s="36"/>
      <c r="D110" s="36"/>
    </row>
    <row r="111" spans="2:5" ht="24" hidden="1" thickBot="1">
      <c r="B111" s="388" t="s">
        <v>35</v>
      </c>
      <c r="C111" s="389"/>
      <c r="D111" s="390"/>
      <c r="E111" s="47">
        <f>B105</f>
        <v>0</v>
      </c>
    </row>
    <row r="112" ht="13.5" hidden="1" thickBot="1"/>
    <row r="113" spans="2:7" ht="13.5" hidden="1" thickBot="1">
      <c r="B113" s="41" t="s">
        <v>5</v>
      </c>
      <c r="C113" s="52" t="s">
        <v>18</v>
      </c>
      <c r="D113" s="41" t="s">
        <v>9</v>
      </c>
      <c r="E113" s="53" t="s">
        <v>88</v>
      </c>
      <c r="G113" s="54" t="s">
        <v>5</v>
      </c>
    </row>
    <row r="114" spans="1:7" ht="15" hidden="1">
      <c r="A114" s="37">
        <f>IF(E111&lt;=G114,E111,G114)</f>
        <v>0</v>
      </c>
      <c r="B114" s="100" t="s">
        <v>115</v>
      </c>
      <c r="C114" s="101">
        <f>IF(A114&lt;=0,0,A114)</f>
        <v>0</v>
      </c>
      <c r="D114" s="102">
        <v>0.1</v>
      </c>
      <c r="E114" s="103">
        <f>C114*D114</f>
        <v>0</v>
      </c>
      <c r="G114" s="122">
        <f>3*Parámetros!E32</f>
        <v>5832</v>
      </c>
    </row>
    <row r="115" spans="1:7" ht="15" hidden="1">
      <c r="A115" s="37">
        <f>IF(E111&gt;=G115,G115-G114,E111-G114)</f>
        <v>-5832</v>
      </c>
      <c r="B115" s="104" t="s">
        <v>116</v>
      </c>
      <c r="C115" s="105">
        <f>IF(A115&lt;=0,0,A115)</f>
        <v>0</v>
      </c>
      <c r="D115" s="106">
        <v>0.15</v>
      </c>
      <c r="E115" s="107">
        <f>C115*D115</f>
        <v>0</v>
      </c>
      <c r="G115" s="123">
        <f>8*Parámetros!E32</f>
        <v>15552</v>
      </c>
    </row>
    <row r="116" spans="1:7" ht="15" hidden="1">
      <c r="A116" s="37">
        <f>IF(E111&gt;=G116,G116-G115,E111-G115)</f>
        <v>-15552</v>
      </c>
      <c r="B116" s="108" t="s">
        <v>117</v>
      </c>
      <c r="C116" s="109">
        <f>IF(A116&lt;=0,0,A116)</f>
        <v>0</v>
      </c>
      <c r="D116" s="110">
        <v>0.2</v>
      </c>
      <c r="E116" s="111">
        <f>C116*D116</f>
        <v>0</v>
      </c>
      <c r="G116" s="124">
        <f>43*Parámetros!E32</f>
        <v>83592</v>
      </c>
    </row>
    <row r="117" spans="1:7" ht="15.75" hidden="1" thickBot="1">
      <c r="A117" s="37">
        <f>IF(E111&gt;=G117,G117-G116,E111-G116)</f>
        <v>-83592</v>
      </c>
      <c r="B117" s="112" t="s">
        <v>118</v>
      </c>
      <c r="C117" s="113">
        <f>IF(A117&lt;=0,0,A117)</f>
        <v>0</v>
      </c>
      <c r="D117" s="114">
        <v>0.22</v>
      </c>
      <c r="E117" s="115">
        <f>C117*D117</f>
        <v>0</v>
      </c>
      <c r="G117" s="125">
        <f>93*Parámetros!E32</f>
        <v>180792</v>
      </c>
    </row>
    <row r="118" spans="1:5" ht="15.75" hidden="1" thickBot="1">
      <c r="A118" s="37">
        <f>IF(E111&gt;G117,E111-G117,0)</f>
        <v>0</v>
      </c>
      <c r="B118" s="116" t="s">
        <v>119</v>
      </c>
      <c r="C118" s="117">
        <f>IF(A118&lt;=0,0,A118)</f>
        <v>0</v>
      </c>
      <c r="D118" s="182">
        <v>0.25</v>
      </c>
      <c r="E118" s="183">
        <f>C118*D118</f>
        <v>0</v>
      </c>
    </row>
    <row r="119" spans="2:5" ht="27" hidden="1" thickBot="1">
      <c r="B119" s="120"/>
      <c r="C119" s="411">
        <f>SUM(E114:E118)</f>
        <v>0</v>
      </c>
      <c r="D119" s="412"/>
      <c r="E119" s="413"/>
    </row>
    <row r="120" ht="12.75" hidden="1"/>
    <row r="121" ht="13.5" hidden="1" thickBot="1"/>
    <row r="122" spans="4:5" ht="24" hidden="1" thickBot="1">
      <c r="D122" s="34" t="s">
        <v>4</v>
      </c>
      <c r="E122" s="81">
        <f>Parámetros!E32</f>
        <v>1944</v>
      </c>
    </row>
    <row r="123" ht="12.75" hidden="1"/>
    <row r="124" ht="13.5" hidden="1" thickBot="1"/>
    <row r="125" spans="3:5" ht="21" hidden="1" thickBot="1">
      <c r="C125" s="391" t="s">
        <v>39</v>
      </c>
      <c r="D125" s="392"/>
      <c r="E125" s="50">
        <f>3*E122</f>
        <v>5832</v>
      </c>
    </row>
    <row r="126" spans="3:5" ht="16.5" hidden="1" thickBot="1">
      <c r="C126" s="414" t="s">
        <v>24</v>
      </c>
      <c r="D126" s="415"/>
      <c r="E126" s="45">
        <f>3*E122+1</f>
        <v>5833</v>
      </c>
    </row>
    <row r="127" ht="13.5" hidden="1" thickBot="1"/>
    <row r="128" spans="3:5" ht="21" hidden="1" thickBot="1">
      <c r="C128" s="416" t="s">
        <v>31</v>
      </c>
      <c r="D128" s="417"/>
      <c r="E128" s="82">
        <f>Parámetros!E45</f>
        <v>5519.29</v>
      </c>
    </row>
    <row r="129" ht="12.75" hidden="1"/>
    <row r="130" ht="13.5" hidden="1" thickBot="1"/>
    <row r="131" spans="3:5" ht="21.75" hidden="1" thickBot="1" thickTop="1">
      <c r="C131" s="409" t="s">
        <v>52</v>
      </c>
      <c r="D131" s="410"/>
      <c r="E131" s="181">
        <f>Parámetros!E57</f>
        <v>59414</v>
      </c>
    </row>
    <row r="132" ht="12.75" hidden="1"/>
    <row r="133" ht="12.75" hidden="1"/>
    <row r="134" ht="12.75" hidden="1"/>
    <row r="135" ht="13.5" thickTop="1"/>
  </sheetData>
  <sheetProtection password="E71E" sheet="1" objects="1" scenarios="1"/>
  <mergeCells count="45">
    <mergeCell ref="C3:E3"/>
    <mergeCell ref="B4:F4"/>
    <mergeCell ref="B6:F6"/>
    <mergeCell ref="B7:F7"/>
    <mergeCell ref="B8:F8"/>
    <mergeCell ref="B11:F11"/>
    <mergeCell ref="B13:F13"/>
    <mergeCell ref="B14:F14"/>
    <mergeCell ref="B16:F16"/>
    <mergeCell ref="B18:F18"/>
    <mergeCell ref="B19:F19"/>
    <mergeCell ref="C23:E23"/>
    <mergeCell ref="B24:G24"/>
    <mergeCell ref="C27:E27"/>
    <mergeCell ref="B28:G28"/>
    <mergeCell ref="B31:E31"/>
    <mergeCell ref="F31:G31"/>
    <mergeCell ref="C39:D39"/>
    <mergeCell ref="F39:G39"/>
    <mergeCell ref="B41:E41"/>
    <mergeCell ref="F41:G41"/>
    <mergeCell ref="C44:D44"/>
    <mergeCell ref="F44:G44"/>
    <mergeCell ref="B46:E46"/>
    <mergeCell ref="F46:G46"/>
    <mergeCell ref="E49:F49"/>
    <mergeCell ref="B58:E58"/>
    <mergeCell ref="C64:D64"/>
    <mergeCell ref="B80:D80"/>
    <mergeCell ref="C89:D89"/>
    <mergeCell ref="B96:F96"/>
    <mergeCell ref="B98:D98"/>
    <mergeCell ref="B99:D99"/>
    <mergeCell ref="B101:D101"/>
    <mergeCell ref="B102:D102"/>
    <mergeCell ref="A104:C104"/>
    <mergeCell ref="E104:G104"/>
    <mergeCell ref="C108:D108"/>
    <mergeCell ref="C109:D109"/>
    <mergeCell ref="B111:D111"/>
    <mergeCell ref="C119:E119"/>
    <mergeCell ref="C125:D125"/>
    <mergeCell ref="C126:D126"/>
    <mergeCell ref="C128:D128"/>
    <mergeCell ref="C131:D131"/>
  </mergeCells>
  <dataValidations count="26">
    <dataValidation type="whole" allowBlank="1" showInputMessage="1" showErrorMessage="1" errorTitle="Dato no válido" error="Solo podrás ingresar números enteros, sin decimales. Tampoco digites puntos o comas." sqref="G14:G19">
      <formula1>0</formula1>
      <formula2>1E+33</formula2>
    </dataValidation>
    <dataValidation type="whole" allowBlank="1" showInputMessage="1" showErrorMessage="1" sqref="G8">
      <formula1>0</formula1>
      <formula2>1E+33</formula2>
    </dataValidation>
    <dataValidation type="whole" allowBlank="1" showInputMessage="1" showErrorMessage="1" promptTitle="PASIVIDAD" prompt="DIGITA AQUÍ DONDE ESTAS PARADO, EL IMPORTE DE TU PASIVIDAD NOMINAL, SIN DECIMALES Y SIN AGREGAR PUNTOS O COMAS. " sqref="G26">
      <formula1>0</formula1>
      <formula2>1E+37</formula2>
    </dataValidation>
    <dataValidation type="whole" allowBlank="1" showInputMessage="1" showErrorMessage="1" promptTitle="SUELDO" prompt="DIGITÁ AQUÍ DONDE ESTAS POSICIONADO, TU SUELDO NOMINAL O BRUTO SIN RESTARLE NINGUNA PARTIDA, (VER HOJA GUIA TRABAJADOR.&#10;INGRESALO SIN DECIMALES Y SIN AGREGAR PUNTOS O COMAS." errorTitle="Dato no válido" error="Solo podrás ingresar números enteros, sin decimales. Tampoco digites puntos o comas." sqref="G5">
      <formula1>0</formula1>
      <formula2>1E+36</formula2>
    </dataValidation>
    <dataValidation allowBlank="1" showInputMessage="1" showErrorMessage="1" promptTitle="B.P.C." prompt="Ingresar el valor actual de la Base de Prestaciones y Contribuciones, decretada por el Poder Ejecutivo" sqref="F55"/>
    <dataValidation type="whole" allowBlank="1" showInputMessage="1" showErrorMessage="1" promptTitle="PENSION" prompt="DIGITAR EL IMPORTE DE TU PENSIÓN NOMINAL, SIN DECIMALES. TAMPOCO DIGITES PUNTOS O COMAS.&#10;EN CASO DE TENER MAS DE UNA PENSIÓN, INGRESAR UNA POR CELDA.&#10;VER HOJA DE GUIA PENSIÓN." errorTitle="Dato no válido." error="Solo podras ingresar números enteros, sin decimales, puntos o comas" sqref="G29">
      <formula1>0</formula1>
      <formula2>1E+37</formula2>
    </dataValidation>
    <dataValidation type="whole" allowBlank="1" showInputMessage="1" showErrorMessage="1" promptTitle="JUBILACIÓN" prompt="DIGITAR AQUÍ, EL IMPORTE DE TU JUBILACIÓN NOMINAL, SIN DECIMALES Y SIN AGREGAR PUNTOS O COMAS. &#10;EN CASO DE TENER MAS DE UNA JUBILACIÓN, INGRESAR UNA JUBILACIÓN POR CELDA.&#10;VER HOJA DE GUIA JUBILACIÓN." errorTitle="Dato no válido" error="Solo podras ingresar números enteros, sin decimales, puntos o comas." sqref="G25">
      <formula1>0</formula1>
      <formula2>1E+37</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errorTitle="Dato no válido" error="Debes ingresar un número entero, sin decimilas, ni comas ni puntos." sqref="G10">
      <formula1>0</formula1>
      <formula2>1E+33</formula2>
    </dataValidation>
    <dataValidation type="whole" allowBlank="1" showInputMessage="1" showErrorMessage="1" promptTitle="BRUTO SIN PARTIDAS NO GRAVADAS" prompt="Ingresá tu SUELDO NOMINAL restandole al mismo las partidas no gravadas por el B.P.S. Por ejemplo: TICKETS ALIMENTACIÒN, TICKETS TRANSPORTE,  SEGUNDO AGUINALDO y otros, (ver hoja GUIA TRABAJADOR, punto 3). &#10;Ingresá el monto sin decimales, puntos o comas." errorTitle="Dato no válido" error="Debes ingresar un número entero, sin decimilas, ni comas ni puntos." sqref="G12">
      <formula1>0</formula1>
      <formula2>1E+33</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VER HOJA GUIA TRABAJADOR, punto 3). Ingresalo sin decimales, puntos o comas." errorTitle="Dato no válido" error="Debes ingresar un número entero, sin decimilas, ni comas ni puntos." sqref="G9">
      <formula1>0</formula1>
      <formula2>1E+33</formula2>
    </dataValidation>
    <dataValidation type="whole" allowBlank="1" showInputMessage="1" showErrorMessage="1" promptTitle="APORTES a CAJA de PROFESIONALES " prompt="Ingresar el aporte mensual a la CAJA DE JUBILACIONES y PENSIONES DE PROFESIONALES UNIVERSITARIOS." errorTitle="Dato no válido" error="Debe ingresar un número entero." sqref="C21">
      <formula1>1</formula1>
      <formula2>1000000000000000000</formula2>
    </dataValidation>
    <dataValidation type="whole" allowBlank="1" showInputMessage="1" showErrorMessage="1" promptTitle="REINTEGROS CAJA PROFESIONAL" prompt="Ingresar el importe mensual de los REINTEGROS de CAJA DE JUBILACIONES Y PENSIONES DE PROFESIONALES UNIVERSITARIOS." errorTitle="Dato no válido" error="Ingresar un número entero, sin puntos ni comas." sqref="F21">
      <formula1>1</formula1>
      <formula2>10000000000000000000</formula2>
    </dataValidation>
    <dataValidation type="whole" allowBlank="1" showInputMessage="1" showErrorMessage="1" promptTitle="FONDO DE SOLIDARIDAD" prompt="Ingresar la cifra anual que se paga por concepto de Fondo de Solidaridad. En caso de los Técnicos de Administración es la mitad de una B.P.C." errorTitle="Dato no válido" error="Debe ingresar un número entero." sqref="C20">
      <formula1>1</formula1>
      <formula2>1000000000000000000</formula2>
    </dataValidation>
    <dataValidation type="whole" allowBlank="1" showInputMessage="1" showErrorMessage="1" promptTitle="ADICIONAL F.de SOLIDARIDAD" prompt="Ingresar el importe anual por concepto de adicional del FONDO de SOLIDARIDAD" errorTitle="Dato no válido" error="Ingresar un número entero" sqref="F20">
      <formula1>1</formula1>
      <formula2>10000000000000000000</formula2>
    </dataValidation>
    <dataValidation type="whole" allowBlank="1" showInputMessage="1" showErrorMessage="1" promptTitle="MULTIEMPLEO PUBLICO" prompt="Registrar un sueldo por empresa y por celda." errorTitle="Dato no válidoc" error="Debes ingresar un número entero, sin puntos ni comas." sqref="D9:E9">
      <formula1>0</formula1>
      <formula2>1000000000000000000</formula2>
    </dataValidation>
    <dataValidation type="whole" allowBlank="1" showInputMessage="1" showErrorMessage="1" promptTitle="MULTIEMPLEO PRIVADO" prompt="Registrar un sueldo por empresa y por celda." errorTitle="Dato no válido" error="Tienes que ingresar un número entero, sin puntos ni comas." sqref="B12:F12">
      <formula1>0</formula1>
      <formula2>1E+22</formula2>
    </dataValidation>
    <dataValidation type="whole" allowBlank="1" showInputMessage="1" showErrorMessage="1" promptTitle="MULTI-JUBILACIÓN" prompt="Registrar una jubilación por celda." errorTitle="Dato no válido" error="Ingresar un número entero, sin comas ni puntos." sqref="D25:E25">
      <formula1>0</formula1>
      <formula2>1000000000000000000</formula2>
    </dataValidation>
    <dataValidation type="whole" allowBlank="1" showInputMessage="1" showErrorMessage="1" promptTitle="MULTI-PENSIÓN" prompt="Ingresar una pensión por celda" errorTitle="Dato no válido" error="Ingresar un número entero, sin puntos ni comas." sqref="D29:E29">
      <formula1>0</formula1>
      <formula2>10000000000000000</formula2>
    </dataValidation>
    <dataValidation type="whole" allowBlank="1" showInputMessage="1" showErrorMessage="1" promptTitle="REGIMEN NUEVO O DE TRANSICIÓN" prompt="Se debe marcar 1 en caso de NUEVO REGIMEN.&#10;Se debe marcar 2 en caso de REGIMEN de TRANSICIÓN." errorTitle="Dato no válido" error="Solo se puede ingresar el valor 1 o el valor 2" sqref="G7">
      <formula1>1</formula1>
      <formula2>2</formula2>
    </dataValidation>
    <dataValidation type="whole" allowBlank="1" showInputMessage="1" showErrorMessage="1" sqref="F46:G46">
      <formula1>0</formula1>
      <formula2>10000000000000000</formula2>
    </dataValidation>
    <dataValidation type="whole" allowBlank="1" showInputMessage="1" showErrorMessage="1" sqref="G27">
      <formula1>0</formula1>
      <formula2>1E+37</formula2>
    </dataValidation>
    <dataValidation type="whole" allowBlank="1" showInputMessage="1" showErrorMessage="1" promptTitle="SUELDO NOMINAL" prompt="DEBE INGRESAR EL SUELDO NOMINAL SIN RESTAR NINGUNA PARTIDA. (VER GUIA TRABAJADOR)" errorTitle="Dato no válido" error="Debe ingresar un número entero, sin comas ni puntos." sqref="G4">
      <formula1>0</formula1>
      <formula2>1E+23</formula2>
    </dataValidation>
    <dataValidation type="whole" allowBlank="1" showInputMessage="1" showErrorMessage="1" promptTitle="HIJOS MENORES DE 18 AÑOS" prompt="DIGITÁ AQUÍ DONDE ESTAS POSICIONADO, 1 SI TENES HIJOS MENORES DE 18 AÑOS O DISCAPACITADOS DE CUALQUIER EDAD A TU CARGO. DE LO CONTRARIO DIGITAR 0." errorTitle="Dato no válido" error="Solo podrás ingresar 1 o 0." sqref="G6">
      <formula1>0</formula1>
      <formula2>1</formula2>
    </dataValidation>
    <dataValidation type="whole" allowBlank="1" showInputMessage="1" showErrorMessage="1" promptTitle="B.P.C." prompt="Ingresar el valor de la BASE de PRESTACIONES y CONTRIBUCIONES. Ingresar el valor vigente, decretado por el Poder Ejecutivo. Varía en cada ocación de aumento de salarios a los funcionarios públicos." errorTitle="Dato no válido" error="Ingresar una cifra entera, sin decimales ni puntos ni comas." sqref="E122">
      <formula1>0</formula1>
      <formula2>1000000000000</formula2>
    </dataValidation>
    <dataValidation type="decimal" allowBlank="1" showInputMessage="1" showErrorMessage="1" promptTitle="TOPE CUOTA MUTUAL" prompt="Ingresar en esta celda el valor establecido por el Poder Ejecutivo, que hace de tope para poseer el derecho a la cuota mutual, para aquellas personas que se jubilaron como empleados en su última actividad laboral." errorTitle="Dato no válido" error="Debe ingresar un número con hasta dos decimales." sqref="E128">
      <formula1>0</formula1>
      <formula2>10000000000000</formula2>
    </dataValidation>
    <dataValidation allowBlank="1" showInputMessage="1" showErrorMessage="1" promptTitle="TOPE TERCER NIVEL, LEY 16713" prompt="Establecer el valor que fija el Poder Ejecutivo, como tope del aporte personal jubilatorio, para aquellas personas que están dentro del nuevo régimen, (solidaridad intergeneracional y AFAP)" sqref="E131"/>
  </dataValidations>
  <printOptions/>
  <pageMargins left="0.75" right="0.75" top="1" bottom="1" header="0" footer="0"/>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3:G131"/>
  <sheetViews>
    <sheetView workbookViewId="0" topLeftCell="B3">
      <selection activeCell="J11" sqref="J11"/>
    </sheetView>
  </sheetViews>
  <sheetFormatPr defaultColWidth="11.421875" defaultRowHeight="12.75"/>
  <cols>
    <col min="1" max="1" width="16.7109375" style="0" customWidth="1"/>
    <col min="2" max="2" width="18.140625" style="0" customWidth="1"/>
    <col min="3" max="3" width="15.57421875" style="0" customWidth="1"/>
    <col min="4" max="4" width="17.421875" style="0" customWidth="1"/>
    <col min="5" max="5" width="19.57421875" style="0" customWidth="1"/>
    <col min="6" max="6" width="13.00390625" style="0" customWidth="1"/>
    <col min="7" max="7" width="18.8515625" style="0" customWidth="1"/>
  </cols>
  <sheetData>
    <row r="1" ht="12.75" hidden="1"/>
    <row r="2" ht="13.5" hidden="1" thickBot="1"/>
    <row r="3" spans="3:5" ht="27" thickBot="1" thickTop="1">
      <c r="C3" s="478" t="s">
        <v>27</v>
      </c>
      <c r="D3" s="479"/>
      <c r="E3" s="480"/>
    </row>
    <row r="4" spans="2:7" ht="21.75" thickBot="1" thickTop="1">
      <c r="B4" s="481" t="s">
        <v>33</v>
      </c>
      <c r="C4" s="482"/>
      <c r="D4" s="482"/>
      <c r="E4" s="482"/>
      <c r="F4" s="483"/>
      <c r="G4" s="273"/>
    </row>
    <row r="5" spans="2:7" ht="24" hidden="1" thickBot="1" thickTop="1">
      <c r="B5" s="11"/>
      <c r="C5" s="11"/>
      <c r="D5" s="11"/>
      <c r="E5" s="23"/>
      <c r="F5" s="11"/>
      <c r="G5" s="274"/>
    </row>
    <row r="6" spans="2:7" ht="30" customHeight="1" thickBot="1" thickTop="1">
      <c r="B6" s="484" t="s">
        <v>102</v>
      </c>
      <c r="C6" s="485"/>
      <c r="D6" s="485"/>
      <c r="E6" s="485"/>
      <c r="F6" s="486"/>
      <c r="G6" s="275"/>
    </row>
    <row r="7" spans="2:7" ht="30" customHeight="1" thickBot="1">
      <c r="B7" s="487" t="s">
        <v>103</v>
      </c>
      <c r="C7" s="488"/>
      <c r="D7" s="488"/>
      <c r="E7" s="488"/>
      <c r="F7" s="489"/>
      <c r="G7" s="276"/>
    </row>
    <row r="8" spans="2:7" ht="30" customHeight="1" thickBot="1" thickTop="1">
      <c r="B8" s="466" t="s">
        <v>57</v>
      </c>
      <c r="C8" s="467"/>
      <c r="D8" s="467"/>
      <c r="E8" s="467"/>
      <c r="F8" s="468"/>
      <c r="G8" s="162"/>
    </row>
    <row r="9" spans="1:7" ht="21.75" thickBot="1" thickTop="1">
      <c r="A9" s="293">
        <f>D9+E9+G9</f>
        <v>0</v>
      </c>
      <c r="B9" s="48"/>
      <c r="C9" s="48"/>
      <c r="D9" s="151"/>
      <c r="E9" s="152"/>
      <c r="F9" s="48"/>
      <c r="G9" s="153"/>
    </row>
    <row r="10" spans="2:7" ht="21.75" hidden="1" thickBot="1">
      <c r="B10" s="144"/>
      <c r="C10" s="48"/>
      <c r="D10" s="48"/>
      <c r="E10" s="48"/>
      <c r="F10" s="48"/>
      <c r="G10" s="12"/>
    </row>
    <row r="11" spans="2:7" ht="30" customHeight="1" thickBot="1" thickTop="1">
      <c r="B11" s="469" t="s">
        <v>63</v>
      </c>
      <c r="C11" s="470"/>
      <c r="D11" s="470"/>
      <c r="E11" s="470"/>
      <c r="F11" s="471"/>
      <c r="G11" s="162"/>
    </row>
    <row r="12" spans="1:7" ht="21.75" thickBot="1" thickTop="1">
      <c r="A12" s="293">
        <f>B12+C12+D12+E12+F12+G12</f>
        <v>0</v>
      </c>
      <c r="B12" s="141"/>
      <c r="C12" s="140"/>
      <c r="D12" s="141"/>
      <c r="E12" s="140"/>
      <c r="F12" s="142"/>
      <c r="G12" s="131"/>
    </row>
    <row r="13" spans="2:7" ht="26.25" thickBot="1">
      <c r="B13" s="472" t="s">
        <v>27</v>
      </c>
      <c r="C13" s="473"/>
      <c r="D13" s="473"/>
      <c r="E13" s="473"/>
      <c r="F13" s="474"/>
      <c r="G13" s="162"/>
    </row>
    <row r="14" spans="2:7" ht="21.75" thickBot="1" thickTop="1">
      <c r="B14" s="475" t="s">
        <v>60</v>
      </c>
      <c r="C14" s="476"/>
      <c r="D14" s="476"/>
      <c r="E14" s="476"/>
      <c r="F14" s="477"/>
      <c r="G14" s="127"/>
    </row>
    <row r="15" spans="2:7" ht="21.75" hidden="1" thickBot="1" thickTop="1">
      <c r="B15" s="145"/>
      <c r="C15" s="277"/>
      <c r="D15" s="277"/>
      <c r="E15" s="277"/>
      <c r="F15" s="277"/>
      <c r="G15" s="128"/>
    </row>
    <row r="16" spans="2:7" ht="30" customHeight="1" thickBot="1" thickTop="1">
      <c r="B16" s="460" t="s">
        <v>61</v>
      </c>
      <c r="C16" s="461"/>
      <c r="D16" s="461"/>
      <c r="E16" s="461"/>
      <c r="F16" s="462"/>
      <c r="G16" s="173"/>
    </row>
    <row r="17" spans="2:7" ht="21.75" hidden="1" thickBot="1" thickTop="1">
      <c r="B17" s="150"/>
      <c r="C17" s="150"/>
      <c r="D17" s="150"/>
      <c r="E17" s="150"/>
      <c r="F17" s="150"/>
      <c r="G17" s="129"/>
    </row>
    <row r="18" spans="2:7" ht="27" thickBot="1" thickTop="1">
      <c r="B18" s="453" t="s">
        <v>27</v>
      </c>
      <c r="C18" s="454"/>
      <c r="D18" s="454"/>
      <c r="E18" s="454"/>
      <c r="F18" s="455"/>
      <c r="G18" s="162"/>
    </row>
    <row r="19" spans="2:7" ht="18" thickBot="1" thickTop="1">
      <c r="B19" s="463" t="s">
        <v>43</v>
      </c>
      <c r="C19" s="464"/>
      <c r="D19" s="464"/>
      <c r="E19" s="464"/>
      <c r="F19" s="465"/>
      <c r="G19" s="163"/>
    </row>
    <row r="20" spans="2:7" ht="28.5" thickBot="1" thickTop="1">
      <c r="B20" s="174" t="s">
        <v>32</v>
      </c>
      <c r="C20" s="175"/>
      <c r="D20" s="26"/>
      <c r="E20" s="177" t="s">
        <v>34</v>
      </c>
      <c r="F20" s="175"/>
      <c r="G20" s="162"/>
    </row>
    <row r="21" spans="2:7" ht="24" thickBot="1" thickTop="1">
      <c r="B21" s="176" t="s">
        <v>55</v>
      </c>
      <c r="C21" s="175"/>
      <c r="D21" s="26"/>
      <c r="E21" s="178" t="s">
        <v>56</v>
      </c>
      <c r="F21" s="175"/>
      <c r="G21" s="162"/>
    </row>
    <row r="22" spans="2:7" ht="21.75" hidden="1" thickBot="1">
      <c r="B22" s="26"/>
      <c r="C22" s="26"/>
      <c r="D22" s="26"/>
      <c r="E22" s="25"/>
      <c r="F22" s="25"/>
      <c r="G22" s="162"/>
    </row>
    <row r="23" spans="2:7" ht="27" hidden="1" thickBot="1" thickTop="1">
      <c r="B23" s="26"/>
      <c r="C23" s="453" t="s">
        <v>28</v>
      </c>
      <c r="D23" s="454"/>
      <c r="E23" s="455"/>
      <c r="F23" s="25"/>
      <c r="G23" s="162"/>
    </row>
    <row r="24" spans="2:7" ht="18" hidden="1" thickBot="1" thickTop="1">
      <c r="B24" s="450" t="s">
        <v>58</v>
      </c>
      <c r="C24" s="451"/>
      <c r="D24" s="451"/>
      <c r="E24" s="451"/>
      <c r="F24" s="451"/>
      <c r="G24" s="452"/>
    </row>
    <row r="25" spans="1:7" ht="22.5" hidden="1" thickBot="1" thickTop="1">
      <c r="A25" s="294">
        <f>D25+E25+G25</f>
        <v>0</v>
      </c>
      <c r="B25" s="19"/>
      <c r="C25" s="19"/>
      <c r="D25" s="146"/>
      <c r="E25" s="147"/>
      <c r="F25" s="19"/>
      <c r="G25" s="147"/>
    </row>
    <row r="26" spans="2:7" ht="25.5" hidden="1" thickBot="1">
      <c r="B26" s="19"/>
      <c r="C26" s="19"/>
      <c r="D26" s="19"/>
      <c r="E26" s="19"/>
      <c r="F26" s="19"/>
      <c r="G26" s="278"/>
    </row>
    <row r="27" spans="2:7" ht="27" hidden="1" thickBot="1" thickTop="1">
      <c r="B27" s="19"/>
      <c r="C27" s="453" t="s">
        <v>29</v>
      </c>
      <c r="D27" s="454"/>
      <c r="E27" s="455"/>
      <c r="F27" s="19"/>
      <c r="G27" s="161"/>
    </row>
    <row r="28" spans="2:7" ht="18" hidden="1" thickBot="1" thickTop="1">
      <c r="B28" s="450" t="s">
        <v>59</v>
      </c>
      <c r="C28" s="451"/>
      <c r="D28" s="451"/>
      <c r="E28" s="451"/>
      <c r="F28" s="451"/>
      <c r="G28" s="452"/>
    </row>
    <row r="29" spans="1:7" ht="22.5" hidden="1" thickBot="1" thickTop="1">
      <c r="A29" s="294">
        <f>D29+E29+G29</f>
        <v>0</v>
      </c>
      <c r="B29" s="19"/>
      <c r="C29" s="19"/>
      <c r="D29" s="148"/>
      <c r="E29" s="148"/>
      <c r="F29" s="139"/>
      <c r="G29" s="148"/>
    </row>
    <row r="30" spans="2:7" ht="17.25" hidden="1" thickBot="1">
      <c r="B30" s="25"/>
      <c r="C30" s="25"/>
      <c r="D30" s="25"/>
      <c r="E30" s="25"/>
      <c r="F30" s="24"/>
      <c r="G30" s="24"/>
    </row>
    <row r="31" spans="2:7" ht="24.75" thickBot="1" thickTop="1">
      <c r="B31" s="456" t="s">
        <v>104</v>
      </c>
      <c r="C31" s="457"/>
      <c r="D31" s="457"/>
      <c r="E31" s="458"/>
      <c r="F31" s="459"/>
      <c r="G31" s="459"/>
    </row>
    <row r="32" spans="2:7" ht="17.25" thickBot="1" thickTop="1">
      <c r="B32" s="154" t="s">
        <v>5</v>
      </c>
      <c r="C32" s="154" t="s">
        <v>8</v>
      </c>
      <c r="D32" s="155" t="s">
        <v>9</v>
      </c>
      <c r="E32" s="154" t="s">
        <v>88</v>
      </c>
      <c r="F32" s="51"/>
      <c r="G32" s="130" t="s">
        <v>5</v>
      </c>
    </row>
    <row r="33" spans="1:7" ht="16.5" thickBot="1">
      <c r="A33">
        <f>G33</f>
        <v>13608</v>
      </c>
      <c r="B33" s="60" t="s">
        <v>105</v>
      </c>
      <c r="C33" s="61">
        <f>G33</f>
        <v>13608</v>
      </c>
      <c r="D33" s="62">
        <v>0</v>
      </c>
      <c r="E33" s="63">
        <f aca="true" t="shared" si="0" ref="E33:E38">C33*D33</f>
        <v>0</v>
      </c>
      <c r="G33" s="55">
        <f>7*Parámetros!E32</f>
        <v>13608</v>
      </c>
    </row>
    <row r="34" spans="1:7" ht="16.5" thickBot="1">
      <c r="A34">
        <f>IF(C52&gt;=G34,G34-G33,C52-G33)</f>
        <v>-13608</v>
      </c>
      <c r="B34" s="64" t="s">
        <v>106</v>
      </c>
      <c r="C34" s="65">
        <f>IF(A34&lt;=0,0,A34)</f>
        <v>0</v>
      </c>
      <c r="D34" s="66">
        <v>0.1</v>
      </c>
      <c r="E34" s="67">
        <f t="shared" si="0"/>
        <v>0</v>
      </c>
      <c r="G34" s="56">
        <f>10*Parámetros!E32</f>
        <v>19440</v>
      </c>
    </row>
    <row r="35" spans="1:7" ht="16.5" thickBot="1">
      <c r="A35">
        <f>IF(C52&gt;=G35,G35-G34,C52-G34)</f>
        <v>-19440</v>
      </c>
      <c r="B35" s="68" t="s">
        <v>3</v>
      </c>
      <c r="C35" s="69">
        <f>IF(A35&lt;=0,0,A35)</f>
        <v>0</v>
      </c>
      <c r="D35" s="70">
        <v>0.15</v>
      </c>
      <c r="E35" s="71">
        <f t="shared" si="0"/>
        <v>0</v>
      </c>
      <c r="G35" s="57">
        <f>15*Parámetros!E32</f>
        <v>29160</v>
      </c>
    </row>
    <row r="36" spans="1:7" ht="16.5" thickBot="1">
      <c r="A36">
        <f>IF(C52&gt;=G36,G36-G35,C52-G35)</f>
        <v>-29160</v>
      </c>
      <c r="B36" s="72" t="s">
        <v>13</v>
      </c>
      <c r="C36" s="73">
        <f>IF(A36&lt;=0,0,A36)</f>
        <v>0</v>
      </c>
      <c r="D36" s="74">
        <v>0.2</v>
      </c>
      <c r="E36" s="75">
        <f t="shared" si="0"/>
        <v>0</v>
      </c>
      <c r="G36" s="58">
        <f>50*Parámetros!E32</f>
        <v>97200</v>
      </c>
    </row>
    <row r="37" spans="1:7" ht="16.5" thickBot="1">
      <c r="A37">
        <f>IF(C52&gt;=G37,G37-G36,C52-G36)</f>
        <v>-97200</v>
      </c>
      <c r="B37" s="76" t="s">
        <v>14</v>
      </c>
      <c r="C37" s="77">
        <f>IF(A37&lt;=0,0,A37)</f>
        <v>0</v>
      </c>
      <c r="D37" s="78">
        <v>0.22</v>
      </c>
      <c r="E37" s="79">
        <f t="shared" si="0"/>
        <v>0</v>
      </c>
      <c r="G37" s="59">
        <f>100*Parámetros!E32</f>
        <v>194400</v>
      </c>
    </row>
    <row r="38" spans="1:5" ht="16.5" thickBot="1">
      <c r="A38">
        <f>IF(C52&gt;G37,C52-G37,0)</f>
        <v>0</v>
      </c>
      <c r="B38" s="80" t="s">
        <v>15</v>
      </c>
      <c r="C38" s="279">
        <f>IF(A38&lt;=0,0,A38)</f>
        <v>0</v>
      </c>
      <c r="D38" s="280">
        <v>0.25</v>
      </c>
      <c r="E38" s="149">
        <f t="shared" si="0"/>
        <v>0</v>
      </c>
    </row>
    <row r="39" spans="3:7" ht="21.75" thickBot="1" thickTop="1">
      <c r="C39" s="442" t="s">
        <v>40</v>
      </c>
      <c r="D39" s="443"/>
      <c r="E39" s="281">
        <f>SUM(E34:E38)</f>
        <v>0</v>
      </c>
      <c r="F39" s="444"/>
      <c r="G39" s="444"/>
    </row>
    <row r="40" spans="3:7" ht="23.25" hidden="1" thickBot="1" thickTop="1">
      <c r="C40" s="283"/>
      <c r="D40" s="283"/>
      <c r="E40" s="284"/>
      <c r="F40" s="282"/>
      <c r="G40" s="282"/>
    </row>
    <row r="41" spans="2:7" ht="34.5" thickBot="1" thickTop="1">
      <c r="B41" s="445" t="s">
        <v>107</v>
      </c>
      <c r="C41" s="446"/>
      <c r="D41" s="446"/>
      <c r="E41" s="447"/>
      <c r="F41" s="448">
        <f>C51</f>
        <v>0</v>
      </c>
      <c r="G41" s="449"/>
    </row>
    <row r="42" spans="2:7" ht="21.75" hidden="1">
      <c r="B42" s="285"/>
      <c r="C42" s="286" t="s">
        <v>108</v>
      </c>
      <c r="D42" s="286"/>
      <c r="E42" s="287"/>
      <c r="F42" s="288"/>
      <c r="G42" s="288"/>
    </row>
    <row r="43" spans="3:7" ht="22.5" hidden="1" thickBot="1">
      <c r="C43" s="283"/>
      <c r="D43" s="283"/>
      <c r="E43" s="284"/>
      <c r="F43" s="282"/>
      <c r="G43" s="282"/>
    </row>
    <row r="44" spans="2:7" ht="39" thickBot="1" thickTop="1">
      <c r="B44" s="289" t="s">
        <v>104</v>
      </c>
      <c r="C44" s="433">
        <f>IF(E39-C119&lt;0,0,E39-C119)</f>
        <v>0</v>
      </c>
      <c r="D44" s="434"/>
      <c r="E44" s="290" t="s">
        <v>109</v>
      </c>
      <c r="F44" s="435">
        <f>C50</f>
        <v>0</v>
      </c>
      <c r="G44" s="436"/>
    </row>
    <row r="45" spans="6:7" ht="19.5" hidden="1" thickBot="1" thickTop="1">
      <c r="F45" s="27"/>
      <c r="G45" s="22"/>
    </row>
    <row r="46" spans="2:7" ht="42.75" hidden="1" thickBot="1" thickTop="1">
      <c r="B46" s="437" t="s">
        <v>30</v>
      </c>
      <c r="C46" s="438"/>
      <c r="D46" s="438"/>
      <c r="E46" s="439"/>
      <c r="F46" s="440" t="e">
        <f>E44-C55</f>
        <v>#VALUE!</v>
      </c>
      <c r="G46" s="441"/>
    </row>
    <row r="47" spans="3:7" ht="14.25" hidden="1" thickBot="1" thickTop="1">
      <c r="C47" s="1"/>
      <c r="G47" s="3"/>
    </row>
    <row r="48" spans="2:3" ht="16.5" hidden="1" thickBot="1">
      <c r="B48" s="41" t="s">
        <v>37</v>
      </c>
      <c r="C48" s="42">
        <f>IF(A12&gt;0,A12*0.125%,0)</f>
        <v>0</v>
      </c>
    </row>
    <row r="49" spans="2:6" ht="16.5" hidden="1" thickBot="1">
      <c r="B49" s="38" t="s">
        <v>120</v>
      </c>
      <c r="C49" s="40">
        <f>IF(A9&lt;=0,A12,A12+A9)</f>
        <v>0</v>
      </c>
      <c r="E49" s="428" t="s">
        <v>7</v>
      </c>
      <c r="F49" s="429"/>
    </row>
    <row r="50" spans="2:7" ht="16.5" hidden="1" thickBot="1">
      <c r="B50" s="39" t="s">
        <v>109</v>
      </c>
      <c r="C50" s="43">
        <f>IF(C49&lt;=G55,C49*3%,IF(G6&gt;0,C49*6%,C49*4.5%))</f>
        <v>0</v>
      </c>
      <c r="D50" s="172" t="s">
        <v>62</v>
      </c>
      <c r="E50" s="6">
        <v>0</v>
      </c>
      <c r="F50" s="20">
        <f>3*F55</f>
        <v>5832</v>
      </c>
      <c r="G50" s="168">
        <f>(F50+2)*1.02</f>
        <v>5950.68</v>
      </c>
    </row>
    <row r="51" spans="2:7" ht="16.5" hidden="1" thickBot="1">
      <c r="B51" s="96" t="s">
        <v>0</v>
      </c>
      <c r="C51" s="97">
        <f>E94</f>
        <v>0</v>
      </c>
      <c r="D51" s="42">
        <f>C51+C50+C48</f>
        <v>0</v>
      </c>
      <c r="E51" s="7">
        <v>0.02</v>
      </c>
      <c r="F51" s="21">
        <f>6*F55</f>
        <v>11664</v>
      </c>
      <c r="G51" s="168">
        <f>(F51+35)*1.06</f>
        <v>12400.94</v>
      </c>
    </row>
    <row r="52" spans="2:7" ht="16.5" hidden="1" thickBot="1">
      <c r="B52" s="90" t="s">
        <v>121</v>
      </c>
      <c r="C52" s="91">
        <f>G4</f>
        <v>0</v>
      </c>
      <c r="E52" s="8">
        <v>0.06</v>
      </c>
      <c r="F52" s="171">
        <f>(F55*6)+1</f>
        <v>11665</v>
      </c>
      <c r="G52" s="168">
        <f>(F51+4)*1.02</f>
        <v>11901.36</v>
      </c>
    </row>
    <row r="53" spans="2:7" ht="16.5" hidden="1" thickBot="1">
      <c r="B53" s="92" t="s">
        <v>41</v>
      </c>
      <c r="C53" s="93">
        <f>A25</f>
        <v>0</v>
      </c>
      <c r="E53" s="169"/>
      <c r="F53" s="170"/>
      <c r="G53" s="1"/>
    </row>
    <row r="54" spans="2:7" ht="16.5" hidden="1" thickBot="1">
      <c r="B54" s="94" t="s">
        <v>42</v>
      </c>
      <c r="C54" s="95">
        <f>A29</f>
        <v>0</v>
      </c>
      <c r="D54" s="291">
        <f>C53+C54</f>
        <v>0</v>
      </c>
      <c r="F54" s="2"/>
      <c r="G54" s="291" t="s">
        <v>110</v>
      </c>
    </row>
    <row r="55" spans="2:7" ht="21" hidden="1" thickBot="1">
      <c r="B55" s="98" t="s">
        <v>36</v>
      </c>
      <c r="C55" s="99" t="e">
        <f>#REF!+F44</f>
        <v>#REF!</v>
      </c>
      <c r="E55" s="35" t="s">
        <v>4</v>
      </c>
      <c r="F55" s="89">
        <f>Parámetros!E32</f>
        <v>1944</v>
      </c>
      <c r="G55" s="292">
        <f>2.5*F55</f>
        <v>4860</v>
      </c>
    </row>
    <row r="56" spans="2:3" ht="18.75" hidden="1" thickBot="1">
      <c r="B56" s="158" t="s">
        <v>54</v>
      </c>
      <c r="C56" s="159">
        <f>C48+C50+C51</f>
        <v>0</v>
      </c>
    </row>
    <row r="57" ht="13.5" hidden="1" thickBot="1"/>
    <row r="58" spans="2:5" ht="18.75" hidden="1" thickBot="1">
      <c r="B58" s="374" t="s">
        <v>12</v>
      </c>
      <c r="C58" s="375"/>
      <c r="D58" s="375"/>
      <c r="E58" s="376"/>
    </row>
    <row r="59" spans="2:7" ht="15.75" hidden="1" thickBot="1">
      <c r="B59" s="10" t="s">
        <v>5</v>
      </c>
      <c r="C59" s="9" t="s">
        <v>8</v>
      </c>
      <c r="D59" s="10" t="s">
        <v>9</v>
      </c>
      <c r="E59" s="10" t="s">
        <v>88</v>
      </c>
      <c r="G59" s="165"/>
    </row>
    <row r="60" spans="1:7" ht="12.75" hidden="1">
      <c r="A60">
        <f>G60</f>
        <v>15552</v>
      </c>
      <c r="B60" s="28" t="s">
        <v>111</v>
      </c>
      <c r="C60" s="13">
        <f>'[1]DEDUCCIONES'!D29*5</f>
        <v>0</v>
      </c>
      <c r="D60" s="4">
        <v>0</v>
      </c>
      <c r="E60" s="16">
        <f>C60*D60</f>
        <v>0</v>
      </c>
      <c r="G60" s="298">
        <f>8*Parámetros!E32</f>
        <v>15552</v>
      </c>
    </row>
    <row r="61" spans="1:7" ht="12.75" hidden="1">
      <c r="A61">
        <f>IF(D54&gt;=G61,G60,D54-G60)</f>
        <v>-15552</v>
      </c>
      <c r="B61" s="29" t="s">
        <v>112</v>
      </c>
      <c r="C61" s="14">
        <f>IF(A36&lt;=0,0,A36)</f>
        <v>0</v>
      </c>
      <c r="D61" s="5">
        <v>0.1</v>
      </c>
      <c r="E61" s="17">
        <f>C61*D61</f>
        <v>0</v>
      </c>
      <c r="G61" s="299">
        <f>15*Parámetros!E32</f>
        <v>29160</v>
      </c>
    </row>
    <row r="62" spans="1:7" ht="13.5" hidden="1" thickBot="1">
      <c r="A62">
        <f>IF(D54&gt;=G62,G60,D54-G61)</f>
        <v>-29160</v>
      </c>
      <c r="B62" s="29" t="s">
        <v>16</v>
      </c>
      <c r="C62" s="15">
        <f>IF(A37&lt;=0,0,A37)</f>
        <v>0</v>
      </c>
      <c r="D62" s="5">
        <v>0.15</v>
      </c>
      <c r="E62" s="17">
        <f>C62*D62</f>
        <v>0</v>
      </c>
      <c r="G62" s="300">
        <f>50*Parámetros!E32</f>
        <v>97200</v>
      </c>
    </row>
    <row r="63" spans="1:7" ht="13.5" hidden="1" thickBot="1">
      <c r="A63">
        <f>IF(D54&gt;G62,D54-G62,0)</f>
        <v>0</v>
      </c>
      <c r="B63" s="30" t="s">
        <v>17</v>
      </c>
      <c r="C63" s="31">
        <f>IF(A38&lt;=0,0,A38)</f>
        <v>0</v>
      </c>
      <c r="D63" s="32">
        <v>0.25</v>
      </c>
      <c r="E63" s="33">
        <f>C63*D63</f>
        <v>0</v>
      </c>
      <c r="G63" s="166"/>
    </row>
    <row r="64" spans="3:7" ht="18.75" hidden="1" thickBot="1">
      <c r="C64" s="374" t="s">
        <v>6</v>
      </c>
      <c r="D64" s="376"/>
      <c r="E64" s="18">
        <f>SUM(E61:E62)</f>
        <v>0</v>
      </c>
      <c r="G64" s="166"/>
    </row>
    <row r="65" spans="1:7" ht="12.75" hidden="1">
      <c r="A65" s="295"/>
      <c r="B65" s="295"/>
      <c r="C65" s="27"/>
      <c r="D65" s="27"/>
      <c r="E65" s="296"/>
      <c r="F65" s="295"/>
      <c r="G65" s="297"/>
    </row>
    <row r="66" spans="1:7" ht="12.75" hidden="1">
      <c r="A66" s="295"/>
      <c r="B66" s="295"/>
      <c r="C66" s="27"/>
      <c r="D66" s="27"/>
      <c r="E66" s="296"/>
      <c r="F66" s="295"/>
      <c r="G66" s="297"/>
    </row>
    <row r="67" ht="12.75" hidden="1">
      <c r="G67" s="27"/>
    </row>
    <row r="68" ht="12.75" hidden="1">
      <c r="G68" s="27"/>
    </row>
    <row r="69" ht="13.5" hidden="1" thickBot="1">
      <c r="G69" s="166"/>
    </row>
    <row r="70" spans="2:7" ht="16.5" hidden="1" thickBot="1">
      <c r="B70" s="135" t="s">
        <v>44</v>
      </c>
      <c r="C70" s="136"/>
      <c r="D70" s="137"/>
      <c r="G70" s="167"/>
    </row>
    <row r="71" ht="13.5" hidden="1" thickBot="1">
      <c r="C71" s="132"/>
    </row>
    <row r="72" spans="3:7" ht="13.5" hidden="1" thickBot="1">
      <c r="C72" s="264">
        <f>IF(B12&gt;G51,B12*6%,(IF(B12&lt;=F50,0,IF(AND(B12&gt;F50,B12&lt;=G50),B12*2%-(F50-(B12-(B12*2%))),IF(AND(B12&gt;F51,B12&lt;=G51),B12*6%-(I51-(B12-(B12*6%))),B12*2%)))))</f>
        <v>0</v>
      </c>
      <c r="E72" s="133" t="s">
        <v>46</v>
      </c>
      <c r="G72" s="164"/>
    </row>
    <row r="73" spans="3:7" ht="16.5" hidden="1" thickBot="1">
      <c r="C73" s="264">
        <f>IF(C12&gt;G51,C12*6%,(IF(C12&lt;=F50,0,IF(AND(C12&gt;F50,C12&lt;=G50),C12*2%-(F50-(C12-(C12*2%))),IF(AND(C12&gt;F51,C12&lt;=G51),C12*6%-(I51-(C12-(C12*6%))),C12*2%)))))</f>
        <v>0</v>
      </c>
      <c r="E73" s="93">
        <f>IF(G25&gt;G52,G25*2%,(IF(G25&lt;=F51,0,G25-F51)))+IF(E25&gt;G52,E25*2%,(IF(E25&lt;=F51,0,E25-F51)))+IF(D25&gt;G52,D25*2%,(IF(D25&lt;=F51,0,D25-F51)))</f>
        <v>0</v>
      </c>
      <c r="G73" s="164"/>
    </row>
    <row r="74" spans="3:7" ht="13.5" hidden="1" thickBot="1">
      <c r="C74" s="264">
        <f>IF(D12&gt;G51,D12*6%,(IF(D12&lt;=F50,0,IF(AND(D12&gt;F50,D12&lt;=G50),D12*2%-(F50-(D12-(D12*2%))),IF(AND(D12&gt;F51,D12&lt;=G51),D12*6%-(I51-(D12-(D12*6%))),D12*2%)))))</f>
        <v>0</v>
      </c>
      <c r="G74" s="164"/>
    </row>
    <row r="75" spans="3:5" ht="13.5" hidden="1" thickBot="1">
      <c r="C75" s="264">
        <f>IF(E12&gt;G51,E12*6%,(IF(E12&lt;=F50,0,IF(AND(E12&gt;F50,E12&lt;=G50),E12*2%-(F50-(E12-(E12*2%))),IF(AND(E12&gt;F51,E12&lt;=G51),E12*6%-(I51-(E12-(E12*6%))),E12*2%)))))</f>
        <v>0</v>
      </c>
      <c r="E75" s="134" t="s">
        <v>47</v>
      </c>
    </row>
    <row r="76" spans="3:7" ht="16.5" hidden="1" thickBot="1">
      <c r="C76" s="264">
        <f>IF(F12&gt;G51,F12*6%,(IF(F12&lt;=F50,0,IF(AND(F12&gt;F50,F12&lt;=G50),F12*2%-(F50-(F12-(F12*2%))),IF(AND(F12&gt;F51,F12&lt;=G51),F12*6%-(I51-(F12-(F12*6%))),F12*2%)))))</f>
        <v>0</v>
      </c>
      <c r="E76" s="270">
        <f>IF(G29&gt;G52,G29*2%,(IF(G29&lt;=F51,0,G29-F51)))+IF(E29&gt;G52,E29*2%,(IF(E29&lt;=F51,0,E29-F51)))+IF(D29&gt;G52,D29*2%,(IF(D29&lt;=F51,0,D29-F51)))</f>
        <v>0</v>
      </c>
      <c r="G76" s="164"/>
    </row>
    <row r="77" ht="13.5" hidden="1" thickBot="1">
      <c r="C77" s="264">
        <f>IF(G12&gt;G51,G12*6%,(IF(G12&lt;=F50,0,IF(AND(G12&gt;F50,G12&lt;=G50),G12*2%-(F50-(G12-(G12*2%))),IF(AND(G12&gt;F51,G12&lt;=G51),G12*6%-(I51-(G12-(G12*6%))),G12*2%)))))</f>
        <v>0</v>
      </c>
    </row>
    <row r="78" spans="2:3" ht="18.75" hidden="1" thickBot="1">
      <c r="B78" s="138" t="s">
        <v>45</v>
      </c>
      <c r="C78" s="265">
        <f>SUM(C72:C77)</f>
        <v>0</v>
      </c>
    </row>
    <row r="79" ht="13.5" hidden="1" thickBot="1"/>
    <row r="80" spans="2:4" ht="16.5" hidden="1" thickBot="1">
      <c r="B80" s="430" t="s">
        <v>48</v>
      </c>
      <c r="C80" s="431"/>
      <c r="D80" s="432"/>
    </row>
    <row r="81" ht="12.75" hidden="1">
      <c r="C81" s="266">
        <f>IF(G9&gt;G51,G9*6%,(IF(G9&lt;=F50,0,IF(AND(G9&gt;F50,G9&lt;=G50),G9*2%-(F50-(G9-(G9*2%))),IF(AND(G9&gt;F51,G9&lt;=G51),G9*6%-(I51-(G9-(G9*6%))),G9*2%)))))</f>
        <v>0</v>
      </c>
    </row>
    <row r="82" ht="12.75" hidden="1">
      <c r="C82" s="267">
        <f>IF(E9&gt;G51,E9*6%,(IF(E9&lt;=F50,0,IF(AND(E9&gt;F50,E9&lt;=G50),E9*2%-(F50-(E9-(E9*2%))),IF(AND(E9&gt;F51,E9&lt;=G51),E9*6%-(I51-(E9-(E9*6%))),E9*2%)))))</f>
        <v>0</v>
      </c>
    </row>
    <row r="83" ht="13.5" hidden="1" thickBot="1">
      <c r="C83" s="268">
        <f>IF(D9&gt;G51,D9*6%,(IF(D9&lt;=F50,0,IF(AND(D9&gt;F50,D9&lt;=G50),D9*2%-(F50-(D9-(D9*2%))),IF(AND(D9&gt;F51,D9&lt;=G51),D9*6%-(I51-(D9-(D9*6%))),D9*2%)))))</f>
        <v>0</v>
      </c>
    </row>
    <row r="84" spans="2:3" ht="18.75" hidden="1" thickBot="1">
      <c r="B84" s="143" t="s">
        <v>45</v>
      </c>
      <c r="C84" s="269">
        <f>SUM(C81:C83)</f>
        <v>0</v>
      </c>
    </row>
    <row r="85" ht="12.75" hidden="1"/>
    <row r="86" ht="12.75" hidden="1"/>
    <row r="87" ht="12.75" hidden="1"/>
    <row r="88" ht="13.5" hidden="1" thickBot="1"/>
    <row r="89" spans="3:5" ht="13.5" hidden="1" thickBot="1">
      <c r="C89" s="418" t="s">
        <v>49</v>
      </c>
      <c r="D89" s="419"/>
      <c r="E89" s="86">
        <f>Parámetros!E57</f>
        <v>59414</v>
      </c>
    </row>
    <row r="90" ht="13.5" hidden="1" thickBot="1"/>
    <row r="91" spans="4:5" ht="16.5" hidden="1" thickBot="1">
      <c r="D91" s="85" t="s">
        <v>50</v>
      </c>
      <c r="E91" s="156">
        <f>C49*15%</f>
        <v>0</v>
      </c>
    </row>
    <row r="92" spans="4:5" ht="16.5" hidden="1" thickBot="1">
      <c r="D92" s="85" t="s">
        <v>51</v>
      </c>
      <c r="E92" s="156">
        <f>IF(C49&lt;=E89,C49*15%,E89*15%)</f>
        <v>0</v>
      </c>
    </row>
    <row r="93" ht="13.5" hidden="1" thickBot="1">
      <c r="E93" s="1"/>
    </row>
    <row r="94" spans="4:5" ht="18.75" hidden="1" thickBot="1">
      <c r="D94" s="85" t="s">
        <v>53</v>
      </c>
      <c r="E94" s="157">
        <f>IF(G7=1,E92,E91)</f>
        <v>0</v>
      </c>
    </row>
    <row r="95" ht="13.5" hidden="1" thickBot="1"/>
    <row r="96" spans="2:7" ht="27.75" hidden="1" thickBot="1" thickTop="1">
      <c r="B96" s="420" t="s">
        <v>22</v>
      </c>
      <c r="C96" s="421"/>
      <c r="D96" s="421"/>
      <c r="E96" s="421"/>
      <c r="F96" s="421"/>
      <c r="G96" s="184">
        <f>C119</f>
        <v>0</v>
      </c>
    </row>
    <row r="97" ht="13.5" hidden="1" thickBot="1"/>
    <row r="98" spans="2:4" ht="21" hidden="1" thickBot="1">
      <c r="B98" s="397" t="s">
        <v>11</v>
      </c>
      <c r="C98" s="398"/>
      <c r="D98" s="399"/>
    </row>
    <row r="99" spans="2:5" ht="18.75" hidden="1" thickBot="1">
      <c r="B99" s="422" t="s">
        <v>64</v>
      </c>
      <c r="C99" s="423"/>
      <c r="D99" s="424"/>
      <c r="E99" s="215">
        <f>Parámetros!E4</f>
        <v>2106</v>
      </c>
    </row>
    <row r="100" ht="13.5" hidden="1" thickBot="1"/>
    <row r="101" spans="2:4" ht="21" hidden="1" thickBot="1">
      <c r="B101" s="403" t="s">
        <v>11</v>
      </c>
      <c r="C101" s="404"/>
      <c r="D101" s="405"/>
    </row>
    <row r="102" spans="2:5" ht="18.75" hidden="1" thickBot="1">
      <c r="B102" s="425" t="s">
        <v>114</v>
      </c>
      <c r="C102" s="426"/>
      <c r="D102" s="427"/>
      <c r="E102" s="126">
        <f>Parámetros!E9</f>
        <v>4212</v>
      </c>
    </row>
    <row r="103" ht="13.5" hidden="1" thickBot="1"/>
    <row r="104" spans="1:7" ht="16.5" hidden="1" thickBot="1">
      <c r="A104" s="382" t="s">
        <v>23</v>
      </c>
      <c r="B104" s="396"/>
      <c r="C104" s="383"/>
      <c r="E104" s="382" t="s">
        <v>25</v>
      </c>
      <c r="F104" s="396"/>
      <c r="G104" s="383"/>
    </row>
    <row r="105" spans="2:6" ht="18.75" hidden="1" thickBot="1">
      <c r="B105" s="46">
        <f>IF(G5=0,0,(E94+C50+C48+(C20/12)+(F20/12)+C21+F21+(G14*E99)+(G16*E102)))</f>
        <v>0</v>
      </c>
      <c r="E105" s="84">
        <f>IF(A25&gt;E128,A25*1%,A25*3%)</f>
        <v>0</v>
      </c>
      <c r="F105" s="49">
        <f>IF(A25&lt;=0,0,IF(AND(A29&lt;=0,B105&lt;=0),F108,IF(AND(A29&lt;=0,E105&gt;0),E102+E105,F108)))</f>
        <v>0</v>
      </c>
    </row>
    <row r="106" spans="2:6" ht="18.75" hidden="1" thickBot="1">
      <c r="B106" s="87"/>
      <c r="E106" s="88"/>
      <c r="F106" s="49"/>
    </row>
    <row r="107" ht="13.5" hidden="1" thickBot="1"/>
    <row r="108" spans="1:6" ht="16.5" hidden="1" thickBot="1">
      <c r="A108" s="83"/>
      <c r="C108" s="382" t="s">
        <v>26</v>
      </c>
      <c r="D108" s="383"/>
      <c r="E108" s="85">
        <f>IF(G5&lt;=0,(C20/12)+(F20/12)+C21+F21+G14*E99+G16*E102,0)</f>
        <v>0</v>
      </c>
      <c r="F108" s="86">
        <f>E108+E105+E102</f>
        <v>4212</v>
      </c>
    </row>
    <row r="109" spans="3:4" ht="21" hidden="1" thickBot="1">
      <c r="C109" s="384">
        <f>IF(A29&lt;=0,0,IF(AND(A25&lt;=0,B105&lt;=0),F108,IF(AND(A25&lt;=0,B105&gt;0),F108,0)))</f>
        <v>0</v>
      </c>
      <c r="D109" s="385"/>
    </row>
    <row r="110" spans="3:4" ht="21" hidden="1" thickBot="1">
      <c r="C110" s="36"/>
      <c r="D110" s="36"/>
    </row>
    <row r="111" spans="2:5" ht="24" hidden="1" thickBot="1">
      <c r="B111" s="388" t="s">
        <v>35</v>
      </c>
      <c r="C111" s="389"/>
      <c r="D111" s="390"/>
      <c r="E111" s="47">
        <f>B105</f>
        <v>0</v>
      </c>
    </row>
    <row r="112" ht="13.5" hidden="1" thickBot="1"/>
    <row r="113" spans="2:7" ht="13.5" hidden="1" thickBot="1">
      <c r="B113" s="41" t="s">
        <v>5</v>
      </c>
      <c r="C113" s="52" t="s">
        <v>18</v>
      </c>
      <c r="D113" s="41" t="s">
        <v>9</v>
      </c>
      <c r="E113" s="53" t="s">
        <v>88</v>
      </c>
      <c r="G113" s="54" t="s">
        <v>5</v>
      </c>
    </row>
    <row r="114" spans="1:7" ht="15" hidden="1">
      <c r="A114" s="37">
        <f>IF(E111&lt;=G114,E111,G114)</f>
        <v>0</v>
      </c>
      <c r="B114" s="100" t="s">
        <v>115</v>
      </c>
      <c r="C114" s="101">
        <f>IF(A114&lt;=0,0,A114)</f>
        <v>0</v>
      </c>
      <c r="D114" s="102">
        <v>0.1</v>
      </c>
      <c r="E114" s="103">
        <f>C114*D114</f>
        <v>0</v>
      </c>
      <c r="G114" s="122">
        <f>3*Parámetros!E32</f>
        <v>5832</v>
      </c>
    </row>
    <row r="115" spans="1:7" ht="15" hidden="1">
      <c r="A115" s="37">
        <f>IF(E111&gt;=G115,G115-G114,E111-G114)</f>
        <v>-5832</v>
      </c>
      <c r="B115" s="104" t="s">
        <v>116</v>
      </c>
      <c r="C115" s="105">
        <f>IF(A115&lt;=0,0,A115)</f>
        <v>0</v>
      </c>
      <c r="D115" s="106">
        <v>0.15</v>
      </c>
      <c r="E115" s="107">
        <f>C115*D115</f>
        <v>0</v>
      </c>
      <c r="G115" s="123">
        <f>8*Parámetros!E32</f>
        <v>15552</v>
      </c>
    </row>
    <row r="116" spans="1:7" ht="15" hidden="1">
      <c r="A116" s="37">
        <f>IF(E111&gt;=G116,G116-G115,E111-G115)</f>
        <v>-15552</v>
      </c>
      <c r="B116" s="108" t="s">
        <v>117</v>
      </c>
      <c r="C116" s="109">
        <f>IF(A116&lt;=0,0,A116)</f>
        <v>0</v>
      </c>
      <c r="D116" s="110">
        <v>0.2</v>
      </c>
      <c r="E116" s="111">
        <f>C116*D116</f>
        <v>0</v>
      </c>
      <c r="G116" s="124">
        <f>43*Parámetros!E32</f>
        <v>83592</v>
      </c>
    </row>
    <row r="117" spans="1:7" ht="15.75" hidden="1" thickBot="1">
      <c r="A117" s="37">
        <f>IF(E111&gt;=G117,G117-G116,E111-G116)</f>
        <v>-83592</v>
      </c>
      <c r="B117" s="112" t="s">
        <v>118</v>
      </c>
      <c r="C117" s="113">
        <f>IF(A117&lt;=0,0,A117)</f>
        <v>0</v>
      </c>
      <c r="D117" s="114">
        <v>0.22</v>
      </c>
      <c r="E117" s="115">
        <f>C117*D117</f>
        <v>0</v>
      </c>
      <c r="G117" s="125">
        <f>93*Parámetros!E32</f>
        <v>180792</v>
      </c>
    </row>
    <row r="118" spans="1:5" ht="15.75" hidden="1" thickBot="1">
      <c r="A118" s="37">
        <f>IF(E111&gt;G117,E111-G117,0)</f>
        <v>0</v>
      </c>
      <c r="B118" s="116" t="s">
        <v>119</v>
      </c>
      <c r="C118" s="117">
        <f>IF(A118&lt;=0,0,A118)</f>
        <v>0</v>
      </c>
      <c r="D118" s="182">
        <v>0.25</v>
      </c>
      <c r="E118" s="183">
        <f>C118*D118</f>
        <v>0</v>
      </c>
    </row>
    <row r="119" spans="2:5" ht="27" hidden="1" thickBot="1">
      <c r="B119" s="120"/>
      <c r="C119" s="411">
        <f>SUM(E114:E118)</f>
        <v>0</v>
      </c>
      <c r="D119" s="412"/>
      <c r="E119" s="413"/>
    </row>
    <row r="120" ht="12.75" hidden="1"/>
    <row r="121" ht="13.5" hidden="1" thickBot="1"/>
    <row r="122" spans="4:5" ht="24" hidden="1" thickBot="1">
      <c r="D122" s="34" t="s">
        <v>4</v>
      </c>
      <c r="E122" s="81">
        <f>Parámetros!E32</f>
        <v>1944</v>
      </c>
    </row>
    <row r="123" ht="12.75" hidden="1"/>
    <row r="124" ht="13.5" hidden="1" thickBot="1"/>
    <row r="125" spans="3:5" ht="21" hidden="1" thickBot="1">
      <c r="C125" s="391" t="s">
        <v>39</v>
      </c>
      <c r="D125" s="392"/>
      <c r="E125" s="50">
        <f>3*E122</f>
        <v>5832</v>
      </c>
    </row>
    <row r="126" spans="3:5" ht="16.5" hidden="1" thickBot="1">
      <c r="C126" s="414" t="s">
        <v>24</v>
      </c>
      <c r="D126" s="415"/>
      <c r="E126" s="45">
        <f>3*E122+1</f>
        <v>5833</v>
      </c>
    </row>
    <row r="127" ht="13.5" hidden="1" thickBot="1"/>
    <row r="128" spans="3:5" ht="21" hidden="1" thickBot="1">
      <c r="C128" s="416" t="s">
        <v>31</v>
      </c>
      <c r="D128" s="417"/>
      <c r="E128" s="82">
        <f>Parámetros!E45</f>
        <v>5519.29</v>
      </c>
    </row>
    <row r="129" ht="12.75" hidden="1"/>
    <row r="130" ht="13.5" hidden="1" thickBot="1"/>
    <row r="131" spans="3:5" ht="21.75" hidden="1" thickBot="1" thickTop="1">
      <c r="C131" s="409" t="s">
        <v>52</v>
      </c>
      <c r="D131" s="410"/>
      <c r="E131" s="181">
        <f>Parámetros!E57</f>
        <v>59414</v>
      </c>
    </row>
    <row r="132" ht="12.75" hidden="1"/>
    <row r="133" ht="12.75" hidden="1"/>
    <row r="134" ht="12.75" hidden="1"/>
    <row r="135" ht="13.5" thickTop="1"/>
  </sheetData>
  <sheetProtection password="E71E" sheet="1" objects="1" scenarios="1"/>
  <mergeCells count="45">
    <mergeCell ref="C3:E3"/>
    <mergeCell ref="B4:F4"/>
    <mergeCell ref="B6:F6"/>
    <mergeCell ref="B7:F7"/>
    <mergeCell ref="B8:F8"/>
    <mergeCell ref="B11:F11"/>
    <mergeCell ref="B13:F13"/>
    <mergeCell ref="B14:F14"/>
    <mergeCell ref="B16:F16"/>
    <mergeCell ref="B18:F18"/>
    <mergeCell ref="B19:F19"/>
    <mergeCell ref="C23:E23"/>
    <mergeCell ref="B24:G24"/>
    <mergeCell ref="C27:E27"/>
    <mergeCell ref="B28:G28"/>
    <mergeCell ref="B31:E31"/>
    <mergeCell ref="F31:G31"/>
    <mergeCell ref="C39:D39"/>
    <mergeCell ref="F39:G39"/>
    <mergeCell ref="B41:E41"/>
    <mergeCell ref="F41:G41"/>
    <mergeCell ref="C44:D44"/>
    <mergeCell ref="F44:G44"/>
    <mergeCell ref="B46:E46"/>
    <mergeCell ref="F46:G46"/>
    <mergeCell ref="E49:F49"/>
    <mergeCell ref="B58:E58"/>
    <mergeCell ref="C64:D64"/>
    <mergeCell ref="B80:D80"/>
    <mergeCell ref="C89:D89"/>
    <mergeCell ref="B96:F96"/>
    <mergeCell ref="B98:D98"/>
    <mergeCell ref="B99:D99"/>
    <mergeCell ref="B101:D101"/>
    <mergeCell ref="B102:D102"/>
    <mergeCell ref="A104:C104"/>
    <mergeCell ref="E104:G104"/>
    <mergeCell ref="C108:D108"/>
    <mergeCell ref="C109:D109"/>
    <mergeCell ref="B111:D111"/>
    <mergeCell ref="C119:E119"/>
    <mergeCell ref="C125:D125"/>
    <mergeCell ref="C126:D126"/>
    <mergeCell ref="C128:D128"/>
    <mergeCell ref="C131:D131"/>
  </mergeCells>
  <dataValidations count="26">
    <dataValidation type="whole" allowBlank="1" showInputMessage="1" showErrorMessage="1" errorTitle="Dato no válido" error="Solo podrás ingresar números enteros, sin decimales. Tampoco digites puntos o comas." sqref="G14:G19">
      <formula1>0</formula1>
      <formula2>1E+33</formula2>
    </dataValidation>
    <dataValidation type="whole" allowBlank="1" showInputMessage="1" showErrorMessage="1" sqref="G8">
      <formula1>0</formula1>
      <formula2>1E+33</formula2>
    </dataValidation>
    <dataValidation type="whole" allowBlank="1" showInputMessage="1" showErrorMessage="1" promptTitle="PASIVIDAD" prompt="DIGITA AQUÍ DONDE ESTAS PARADO, EL IMPORTE DE TU PASIVIDAD NOMINAL, SIN DECIMALES Y SIN AGREGAR PUNTOS O COMAS. " sqref="G26">
      <formula1>0</formula1>
      <formula2>1E+37</formula2>
    </dataValidation>
    <dataValidation type="whole" allowBlank="1" showInputMessage="1" showErrorMessage="1" promptTitle="SUELDO" prompt="DIGITÁ AQUÍ DONDE ESTAS POSICIONADO, TU SUELDO NOMINAL O BRUTO SIN RESTARLE NINGUNA PARTIDA, (VER HOJA GUIA TRABAJADOR.&#10;INGRESALO SIN DECIMALES Y SIN AGREGAR PUNTOS O COMAS." errorTitle="Dato no válido" error="Solo podrás ingresar números enteros, sin decimales. Tampoco digites puntos o comas." sqref="G5">
      <formula1>0</formula1>
      <formula2>1E+36</formula2>
    </dataValidation>
    <dataValidation allowBlank="1" showInputMessage="1" showErrorMessage="1" promptTitle="B.P.C." prompt="Ingresar el valor actual de la Base de Prestaciones y Contribuciones, decretada por el Poder Ejecutivo" sqref="F55"/>
    <dataValidation type="whole" allowBlank="1" showInputMessage="1" showErrorMessage="1" promptTitle="PENSION" prompt="DIGITAR EL IMPORTE DE TU PENSIÓN NOMINAL, SIN DECIMALES. TAMPOCO DIGITES PUNTOS O COMAS.&#10;EN CASO DE TENER MAS DE UNA PENSIÓN, INGRESAR UNA POR CELDA.&#10;VER HOJA DE GUIA PENSIÓN." errorTitle="Dato no válido." error="Solo podras ingresar números enteros, sin decimales, puntos o comas" sqref="G29">
      <formula1>0</formula1>
      <formula2>1E+37</formula2>
    </dataValidation>
    <dataValidation type="whole" allowBlank="1" showInputMessage="1" showErrorMessage="1" promptTitle="JUBILACIÓN" prompt="DIGITAR AQUÍ, EL IMPORTE DE TU JUBILACIÓN NOMINAL, SIN DECIMALES Y SIN AGREGAR PUNTOS O COMAS. &#10;EN CASO DE TENER MAS DE UNA JUBILACIÓN, INGRESAR UNA JUBILACIÓN POR CELDA.&#10;VER HOJA DE GUIA JUBILACIÓN." errorTitle="Dato no válido" error="Solo podras ingresar números enteros, sin decimales, puntos o comas." sqref="G25">
      <formula1>0</formula1>
      <formula2>1E+37</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errorTitle="Dato no válido" error="Debes ingresar un número entero, sin decimilas, ni comas ni puntos." sqref="G10">
      <formula1>0</formula1>
      <formula2>1E+33</formula2>
    </dataValidation>
    <dataValidation type="whole" allowBlank="1" showInputMessage="1" showErrorMessage="1" promptTitle="BRUTO SIN PARTIDAS NO GRAVADAS" prompt="Ingresá tu SUELDO NOMINAL restandole al mismo las partidas no gravadas por el B.P.S. Por ejemplo: TICKETS ALIMENTACIÒN, TICKETS TRANSPORTE,  SEGUNDO AGUINALDO y otros, (ver hoja GUIA TRABAJADOR, punto 3). &#10;Ingresá el monto sin decimales, puntos o comas." errorTitle="Dato no válido" error="Debes ingresar un número entero, sin decimilas, ni comas ni puntos." sqref="G12">
      <formula1>0</formula1>
      <formula2>1E+33</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VER HOJA GUIA TRABAJADOR, punto 3). Ingresalo sin decimales, puntos o comas." errorTitle="Dato no válido" error="Debes ingresar un número entero, sin decimilas, ni comas ni puntos." sqref="G9">
      <formula1>0</formula1>
      <formula2>1E+33</formula2>
    </dataValidation>
    <dataValidation type="whole" allowBlank="1" showInputMessage="1" showErrorMessage="1" promptTitle="APORTES a CAJA de PROFESIONALES " prompt="Ingresar el aporte mensual a la CAJA DE JUBILACIONES y PENSIONES DE PROFESIONALES UNIVERSITARIOS." errorTitle="Dato no válido" error="Debe ingresar un número entero." sqref="C21">
      <formula1>1</formula1>
      <formula2>1000000000000000000</formula2>
    </dataValidation>
    <dataValidation type="whole" allowBlank="1" showInputMessage="1" showErrorMessage="1" promptTitle="REINTEGROS CAJA PROFESIONAL" prompt="Ingresar el importe mensual de los REINTEGROS de CAJA DE JUBILACIONES Y PENSIONES DE PROFESIONALES UNIVERSITARIOS." errorTitle="Dato no válido" error="Ingresar un número entero, sin puntos ni comas." sqref="F21">
      <formula1>1</formula1>
      <formula2>10000000000000000000</formula2>
    </dataValidation>
    <dataValidation type="whole" allowBlank="1" showInputMessage="1" showErrorMessage="1" promptTitle="FONDO DE SOLIDARIDAD" prompt="Ingresar la cifra anual que se paga por concepto de Fondo de Solidaridad. En caso de los Técnicos de Administración es la mitad de una B.P.C." errorTitle="Dato no válido" error="Debe ingresar un número entero." sqref="C20">
      <formula1>1</formula1>
      <formula2>1000000000000000000</formula2>
    </dataValidation>
    <dataValidation type="whole" allowBlank="1" showInputMessage="1" showErrorMessage="1" promptTitle="ADICIONAL F.de SOLIDARIDAD" prompt="Ingresar el importe anual por concepto de adicional del FONDO de SOLIDARIDAD" errorTitle="Dato no válido" error="Ingresar un número entero" sqref="F20">
      <formula1>1</formula1>
      <formula2>10000000000000000000</formula2>
    </dataValidation>
    <dataValidation type="whole" allowBlank="1" showInputMessage="1" showErrorMessage="1" promptTitle="MULTIEMPLEO PUBLICO" prompt="Registrar un sueldo por empresa y por celda." errorTitle="Dato no válidoc" error="Debes ingresar un número entero, sin puntos ni comas." sqref="D9:E9">
      <formula1>0</formula1>
      <formula2>1000000000000000000</formula2>
    </dataValidation>
    <dataValidation type="whole" allowBlank="1" showInputMessage="1" showErrorMessage="1" promptTitle="MULTIEMPLEO PRIVADO" prompt="Registrar un sueldo por empresa y por celda." errorTitle="Dato no válido" error="Tienes que ingresar un número entero, sin puntos ni comas." sqref="B12:F12">
      <formula1>0</formula1>
      <formula2>1E+22</formula2>
    </dataValidation>
    <dataValidation type="whole" allowBlank="1" showInputMessage="1" showErrorMessage="1" promptTitle="MULTI-JUBILACIÓN" prompt="Registrar una jubilación por celda." errorTitle="Dato no válido" error="Ingresar un número entero, sin comas ni puntos." sqref="D25:E25">
      <formula1>0</formula1>
      <formula2>1000000000000000000</formula2>
    </dataValidation>
    <dataValidation type="whole" allowBlank="1" showInputMessage="1" showErrorMessage="1" promptTitle="MULTI-PENSIÓN" prompt="Ingresar una pensión por celda" errorTitle="Dato no válido" error="Ingresar un número entero, sin puntos ni comas." sqref="D29:E29">
      <formula1>0</formula1>
      <formula2>10000000000000000</formula2>
    </dataValidation>
    <dataValidation type="whole" allowBlank="1" showInputMessage="1" showErrorMessage="1" promptTitle="REGIMEN NUEVO O DE TRANSICIÓN" prompt="Se debe marcar 1 en caso de NUEVO REGIMEN.&#10;Se debe marcar 2 en caso de REGIMEN de TRANSICIÓN." errorTitle="Dato no válido" error="Solo se puede ingresar el valor 1 o el valor 2" sqref="G7">
      <formula1>1</formula1>
      <formula2>2</formula2>
    </dataValidation>
    <dataValidation type="whole" allowBlank="1" showInputMessage="1" showErrorMessage="1" sqref="F46:G46">
      <formula1>0</formula1>
      <formula2>10000000000000000</formula2>
    </dataValidation>
    <dataValidation type="whole" allowBlank="1" showInputMessage="1" showErrorMessage="1" sqref="G27">
      <formula1>0</formula1>
      <formula2>1E+37</formula2>
    </dataValidation>
    <dataValidation type="whole" allowBlank="1" showInputMessage="1" showErrorMessage="1" promptTitle="SUELDO NOMINAL" prompt="DEBE INGRESAR EL SUELDO NOMINAL SIN RESTAR NINGUNA PARTIDA. (VER GUIA TRABAJADOR)" errorTitle="Dato no válido" error="Debe ingresar un número entero, sin comas ni puntos." sqref="G4">
      <formula1>0</formula1>
      <formula2>1E+23</formula2>
    </dataValidation>
    <dataValidation type="whole" allowBlank="1" showInputMessage="1" showErrorMessage="1" promptTitle="HIJOS MENORES DE 18 AÑOS" prompt="DIGITÁ AQUÍ DONDE ESTAS POSICIONADO, 1 SI TENES HIJOS MENORES DE 18 AÑOS O DISCAPACITADOS DE CUALQUIER EDAD A TU CARGO. DE LO CONTRARIO DIGITAR 0." errorTitle="Dato no válido" error="Solo podrás ingresar 1 o 0." sqref="G6">
      <formula1>0</formula1>
      <formula2>1</formula2>
    </dataValidation>
    <dataValidation type="whole" allowBlank="1" showInputMessage="1" showErrorMessage="1" promptTitle="B.P.C." prompt="Ingresar el valor de la BASE de PRESTACIONES y CONTRIBUCIONES. Ingresar el valor vigente, decretado por el Poder Ejecutivo. Varía en cada ocación de aumento de salarios a los funcionarios públicos." errorTitle="Dato no válido" error="Ingresar una cifra entera, sin decimales ni puntos ni comas." sqref="E122">
      <formula1>0</formula1>
      <formula2>1000000000000</formula2>
    </dataValidation>
    <dataValidation type="decimal" allowBlank="1" showInputMessage="1" showErrorMessage="1" promptTitle="TOPE CUOTA MUTUAL" prompt="Ingresar en esta celda el valor establecido por el Poder Ejecutivo, que hace de tope para poseer el derecho a la cuota mutual, para aquellas personas que se jubilaron como empleados en su última actividad laboral." errorTitle="Dato no válido" error="Debe ingresar un número con hasta dos decimales." sqref="E128">
      <formula1>0</formula1>
      <formula2>10000000000000</formula2>
    </dataValidation>
    <dataValidation allowBlank="1" showInputMessage="1" showErrorMessage="1" promptTitle="TOPE TERCER NIVEL, LEY 16713" prompt="Establecer el valor que fija el Poder Ejecutivo, como tope del aporte personal jubilatorio, para aquellas personas que están dentro del nuevo régimen, (solidaridad intergeneracional y AFAP)" sqref="E131"/>
  </dataValidations>
  <printOptions/>
  <pageMargins left="0.75" right="0.75" top="1" bottom="1" header="0" footer="0"/>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3:G131"/>
  <sheetViews>
    <sheetView workbookViewId="0" topLeftCell="B3">
      <selection activeCell="J12" sqref="J12"/>
    </sheetView>
  </sheetViews>
  <sheetFormatPr defaultColWidth="11.421875" defaultRowHeight="12.75"/>
  <cols>
    <col min="1" max="1" width="17.28125" style="0" hidden="1" customWidth="1"/>
    <col min="2" max="2" width="18.140625" style="0" customWidth="1"/>
    <col min="3" max="3" width="15.57421875" style="0" customWidth="1"/>
    <col min="4" max="4" width="17.421875" style="0" customWidth="1"/>
    <col min="5" max="5" width="19.57421875" style="0" customWidth="1"/>
    <col min="6" max="6" width="13.00390625" style="0" customWidth="1"/>
    <col min="7" max="7" width="18.8515625" style="0" customWidth="1"/>
  </cols>
  <sheetData>
    <row r="1" ht="12.75" hidden="1"/>
    <row r="2" ht="13.5" hidden="1" thickBot="1"/>
    <row r="3" spans="3:5" ht="27" thickBot="1" thickTop="1">
      <c r="C3" s="478" t="s">
        <v>27</v>
      </c>
      <c r="D3" s="479"/>
      <c r="E3" s="480"/>
    </row>
    <row r="4" spans="2:7" ht="21.75" thickBot="1" thickTop="1">
      <c r="B4" s="481" t="s">
        <v>33</v>
      </c>
      <c r="C4" s="482"/>
      <c r="D4" s="482"/>
      <c r="E4" s="482"/>
      <c r="F4" s="483"/>
      <c r="G4" s="273"/>
    </row>
    <row r="5" spans="2:7" ht="24" hidden="1" thickBot="1" thickTop="1">
      <c r="B5" s="11"/>
      <c r="C5" s="11"/>
      <c r="D5" s="11"/>
      <c r="E5" s="23"/>
      <c r="F5" s="11"/>
      <c r="G5" s="274"/>
    </row>
    <row r="6" spans="2:7" ht="30" customHeight="1" thickBot="1" thickTop="1">
      <c r="B6" s="484" t="s">
        <v>102</v>
      </c>
      <c r="C6" s="485"/>
      <c r="D6" s="485"/>
      <c r="E6" s="485"/>
      <c r="F6" s="486"/>
      <c r="G6" s="275"/>
    </row>
    <row r="7" spans="2:7" ht="30" customHeight="1" thickBot="1">
      <c r="B7" s="487" t="s">
        <v>103</v>
      </c>
      <c r="C7" s="488"/>
      <c r="D7" s="488"/>
      <c r="E7" s="488"/>
      <c r="F7" s="489"/>
      <c r="G7" s="276"/>
    </row>
    <row r="8" spans="2:7" ht="30" customHeight="1" thickBot="1" thickTop="1">
      <c r="B8" s="466" t="s">
        <v>57</v>
      </c>
      <c r="C8" s="467"/>
      <c r="D8" s="467"/>
      <c r="E8" s="467"/>
      <c r="F8" s="468"/>
      <c r="G8" s="162"/>
    </row>
    <row r="9" spans="1:7" ht="21.75" thickBot="1" thickTop="1">
      <c r="A9" s="293">
        <f>D9+E9+G9</f>
        <v>0</v>
      </c>
      <c r="B9" s="48"/>
      <c r="C9" s="48"/>
      <c r="D9" s="151"/>
      <c r="E9" s="152"/>
      <c r="F9" s="48"/>
      <c r="G9" s="153"/>
    </row>
    <row r="10" spans="2:7" ht="21.75" hidden="1" thickBot="1">
      <c r="B10" s="144"/>
      <c r="C10" s="48"/>
      <c r="D10" s="48"/>
      <c r="E10" s="48"/>
      <c r="F10" s="48"/>
      <c r="G10" s="12"/>
    </row>
    <row r="11" spans="2:7" ht="30" customHeight="1" thickBot="1" thickTop="1">
      <c r="B11" s="469" t="s">
        <v>63</v>
      </c>
      <c r="C11" s="470"/>
      <c r="D11" s="470"/>
      <c r="E11" s="470"/>
      <c r="F11" s="471"/>
      <c r="G11" s="162"/>
    </row>
    <row r="12" spans="1:7" ht="21.75" thickBot="1" thickTop="1">
      <c r="A12" s="293">
        <f>B12+C12+D12+E12+F12+G12</f>
        <v>0</v>
      </c>
      <c r="B12" s="141"/>
      <c r="C12" s="140"/>
      <c r="D12" s="141"/>
      <c r="E12" s="140"/>
      <c r="F12" s="142"/>
      <c r="G12" s="131"/>
    </row>
    <row r="13" spans="2:7" ht="26.25" thickBot="1">
      <c r="B13" s="472" t="s">
        <v>27</v>
      </c>
      <c r="C13" s="473"/>
      <c r="D13" s="473"/>
      <c r="E13" s="473"/>
      <c r="F13" s="474"/>
      <c r="G13" s="162"/>
    </row>
    <row r="14" spans="2:7" ht="21.75" thickBot="1" thickTop="1">
      <c r="B14" s="475" t="s">
        <v>60</v>
      </c>
      <c r="C14" s="476"/>
      <c r="D14" s="476"/>
      <c r="E14" s="476"/>
      <c r="F14" s="477"/>
      <c r="G14" s="127"/>
    </row>
    <row r="15" spans="2:7" ht="21.75" hidden="1" thickBot="1" thickTop="1">
      <c r="B15" s="145"/>
      <c r="C15" s="277"/>
      <c r="D15" s="277"/>
      <c r="E15" s="277"/>
      <c r="F15" s="277"/>
      <c r="G15" s="128"/>
    </row>
    <row r="16" spans="2:7" ht="30" customHeight="1" thickBot="1" thickTop="1">
      <c r="B16" s="460" t="s">
        <v>61</v>
      </c>
      <c r="C16" s="461"/>
      <c r="D16" s="461"/>
      <c r="E16" s="461"/>
      <c r="F16" s="462"/>
      <c r="G16" s="173"/>
    </row>
    <row r="17" spans="2:7" ht="21.75" hidden="1" thickBot="1" thickTop="1">
      <c r="B17" s="150"/>
      <c r="C17" s="150"/>
      <c r="D17" s="150"/>
      <c r="E17" s="150"/>
      <c r="F17" s="150"/>
      <c r="G17" s="129"/>
    </row>
    <row r="18" spans="2:7" ht="27" thickBot="1" thickTop="1">
      <c r="B18" s="453" t="s">
        <v>27</v>
      </c>
      <c r="C18" s="454"/>
      <c r="D18" s="454"/>
      <c r="E18" s="454"/>
      <c r="F18" s="455"/>
      <c r="G18" s="162"/>
    </row>
    <row r="19" spans="2:7" ht="18" thickBot="1" thickTop="1">
      <c r="B19" s="463" t="s">
        <v>43</v>
      </c>
      <c r="C19" s="464"/>
      <c r="D19" s="464"/>
      <c r="E19" s="464"/>
      <c r="F19" s="465"/>
      <c r="G19" s="163"/>
    </row>
    <row r="20" spans="2:7" ht="28.5" thickBot="1" thickTop="1">
      <c r="B20" s="174" t="s">
        <v>32</v>
      </c>
      <c r="C20" s="175"/>
      <c r="D20" s="26"/>
      <c r="E20" s="177" t="s">
        <v>34</v>
      </c>
      <c r="F20" s="175"/>
      <c r="G20" s="162"/>
    </row>
    <row r="21" spans="2:7" ht="24" thickBot="1" thickTop="1">
      <c r="B21" s="176" t="s">
        <v>55</v>
      </c>
      <c r="C21" s="175"/>
      <c r="D21" s="26"/>
      <c r="E21" s="178" t="s">
        <v>56</v>
      </c>
      <c r="F21" s="175"/>
      <c r="G21" s="162"/>
    </row>
    <row r="22" spans="2:7" ht="21.75" hidden="1" thickBot="1">
      <c r="B22" s="26"/>
      <c r="C22" s="26"/>
      <c r="D22" s="26"/>
      <c r="E22" s="25"/>
      <c r="F22" s="25"/>
      <c r="G22" s="162"/>
    </row>
    <row r="23" spans="2:7" ht="27" hidden="1" thickBot="1" thickTop="1">
      <c r="B23" s="26"/>
      <c r="C23" s="453" t="s">
        <v>28</v>
      </c>
      <c r="D23" s="454"/>
      <c r="E23" s="455"/>
      <c r="F23" s="25"/>
      <c r="G23" s="162"/>
    </row>
    <row r="24" spans="2:7" ht="18" hidden="1" thickBot="1" thickTop="1">
      <c r="B24" s="450" t="s">
        <v>58</v>
      </c>
      <c r="C24" s="451"/>
      <c r="D24" s="451"/>
      <c r="E24" s="451"/>
      <c r="F24" s="451"/>
      <c r="G24" s="452"/>
    </row>
    <row r="25" spans="1:7" ht="22.5" hidden="1" thickBot="1" thickTop="1">
      <c r="A25" s="294">
        <f>D25+E25+G25</f>
        <v>0</v>
      </c>
      <c r="B25" s="19"/>
      <c r="C25" s="19"/>
      <c r="D25" s="146"/>
      <c r="E25" s="147"/>
      <c r="F25" s="19"/>
      <c r="G25" s="147"/>
    </row>
    <row r="26" spans="2:7" ht="25.5" hidden="1" thickBot="1">
      <c r="B26" s="19"/>
      <c r="C26" s="19"/>
      <c r="D26" s="19"/>
      <c r="E26" s="19"/>
      <c r="F26" s="19"/>
      <c r="G26" s="278"/>
    </row>
    <row r="27" spans="2:7" ht="27" hidden="1" thickBot="1" thickTop="1">
      <c r="B27" s="19"/>
      <c r="C27" s="453" t="s">
        <v>29</v>
      </c>
      <c r="D27" s="454"/>
      <c r="E27" s="455"/>
      <c r="F27" s="19"/>
      <c r="G27" s="161"/>
    </row>
    <row r="28" spans="2:7" ht="18" hidden="1" thickBot="1" thickTop="1">
      <c r="B28" s="450" t="s">
        <v>59</v>
      </c>
      <c r="C28" s="451"/>
      <c r="D28" s="451"/>
      <c r="E28" s="451"/>
      <c r="F28" s="451"/>
      <c r="G28" s="452"/>
    </row>
    <row r="29" spans="1:7" ht="22.5" hidden="1" thickBot="1" thickTop="1">
      <c r="A29" s="294">
        <f>D29+E29+G29</f>
        <v>0</v>
      </c>
      <c r="B29" s="19"/>
      <c r="C29" s="19"/>
      <c r="D29" s="148"/>
      <c r="E29" s="148"/>
      <c r="F29" s="139"/>
      <c r="G29" s="148"/>
    </row>
    <row r="30" spans="2:7" ht="17.25" hidden="1" thickBot="1">
      <c r="B30" s="25"/>
      <c r="C30" s="25"/>
      <c r="D30" s="25"/>
      <c r="E30" s="25"/>
      <c r="F30" s="24"/>
      <c r="G30" s="24"/>
    </row>
    <row r="31" spans="2:7" ht="24.75" thickBot="1" thickTop="1">
      <c r="B31" s="456" t="s">
        <v>104</v>
      </c>
      <c r="C31" s="457"/>
      <c r="D31" s="457"/>
      <c r="E31" s="458"/>
      <c r="F31" s="459"/>
      <c r="G31" s="459"/>
    </row>
    <row r="32" spans="2:7" ht="17.25" thickBot="1" thickTop="1">
      <c r="B32" s="154" t="s">
        <v>5</v>
      </c>
      <c r="C32" s="154" t="s">
        <v>8</v>
      </c>
      <c r="D32" s="155" t="s">
        <v>9</v>
      </c>
      <c r="E32" s="154" t="s">
        <v>88</v>
      </c>
      <c r="F32" s="51"/>
      <c r="G32" s="130" t="s">
        <v>5</v>
      </c>
    </row>
    <row r="33" spans="1:7" ht="16.5" thickBot="1">
      <c r="A33">
        <f>G33</f>
        <v>13608</v>
      </c>
      <c r="B33" s="60" t="s">
        <v>105</v>
      </c>
      <c r="C33" s="61">
        <f>G33</f>
        <v>13608</v>
      </c>
      <c r="D33" s="62">
        <v>0</v>
      </c>
      <c r="E33" s="63">
        <f aca="true" t="shared" si="0" ref="E33:E38">C33*D33</f>
        <v>0</v>
      </c>
      <c r="G33" s="55">
        <f>7*Parámetros!E32</f>
        <v>13608</v>
      </c>
    </row>
    <row r="34" spans="1:7" ht="16.5" thickBot="1">
      <c r="A34">
        <f>IF(C52&gt;=G34,G34-G33,C52-G33)</f>
        <v>-13608</v>
      </c>
      <c r="B34" s="64" t="s">
        <v>106</v>
      </c>
      <c r="C34" s="65">
        <f>IF(A34&lt;=0,0,A34)</f>
        <v>0</v>
      </c>
      <c r="D34" s="66">
        <v>0.1</v>
      </c>
      <c r="E34" s="67">
        <f t="shared" si="0"/>
        <v>0</v>
      </c>
      <c r="G34" s="56">
        <f>10*Parámetros!E32</f>
        <v>19440</v>
      </c>
    </row>
    <row r="35" spans="1:7" ht="16.5" thickBot="1">
      <c r="A35">
        <f>IF(C52&gt;=G35,G35-G34,C52-G34)</f>
        <v>-19440</v>
      </c>
      <c r="B35" s="68" t="s">
        <v>3</v>
      </c>
      <c r="C35" s="69">
        <f>IF(A35&lt;=0,0,A35)</f>
        <v>0</v>
      </c>
      <c r="D35" s="70">
        <v>0.15</v>
      </c>
      <c r="E35" s="71">
        <f t="shared" si="0"/>
        <v>0</v>
      </c>
      <c r="G35" s="57">
        <f>15*Parámetros!E32</f>
        <v>29160</v>
      </c>
    </row>
    <row r="36" spans="1:7" ht="16.5" thickBot="1">
      <c r="A36">
        <f>IF(C52&gt;=G36,G36-G35,C52-G35)</f>
        <v>-29160</v>
      </c>
      <c r="B36" s="72" t="s">
        <v>13</v>
      </c>
      <c r="C36" s="73">
        <f>IF(A36&lt;=0,0,A36)</f>
        <v>0</v>
      </c>
      <c r="D36" s="74">
        <v>0.2</v>
      </c>
      <c r="E36" s="75">
        <f t="shared" si="0"/>
        <v>0</v>
      </c>
      <c r="G36" s="58">
        <f>50*Parámetros!E32</f>
        <v>97200</v>
      </c>
    </row>
    <row r="37" spans="1:7" ht="16.5" thickBot="1">
      <c r="A37">
        <f>IF(C52&gt;=G37,G37-G36,C52-G36)</f>
        <v>-97200</v>
      </c>
      <c r="B37" s="76" t="s">
        <v>14</v>
      </c>
      <c r="C37" s="77">
        <f>IF(A37&lt;=0,0,A37)</f>
        <v>0</v>
      </c>
      <c r="D37" s="78">
        <v>0.22</v>
      </c>
      <c r="E37" s="79">
        <f t="shared" si="0"/>
        <v>0</v>
      </c>
      <c r="G37" s="59">
        <f>100*Parámetros!E32</f>
        <v>194400</v>
      </c>
    </row>
    <row r="38" spans="1:5" ht="16.5" thickBot="1">
      <c r="A38">
        <f>IF(C52&gt;G37,C52-G37,0)</f>
        <v>0</v>
      </c>
      <c r="B38" s="80" t="s">
        <v>15</v>
      </c>
      <c r="C38" s="279">
        <f>IF(A38&lt;=0,0,A38)</f>
        <v>0</v>
      </c>
      <c r="D38" s="280">
        <v>0.25</v>
      </c>
      <c r="E38" s="149">
        <f t="shared" si="0"/>
        <v>0</v>
      </c>
    </row>
    <row r="39" spans="3:7" ht="21.75" thickBot="1" thickTop="1">
      <c r="C39" s="442" t="s">
        <v>40</v>
      </c>
      <c r="D39" s="443"/>
      <c r="E39" s="281">
        <f>SUM(E34:E38)</f>
        <v>0</v>
      </c>
      <c r="F39" s="444"/>
      <c r="G39" s="444"/>
    </row>
    <row r="40" spans="3:7" ht="23.25" hidden="1" thickBot="1" thickTop="1">
      <c r="C40" s="283"/>
      <c r="D40" s="283"/>
      <c r="E40" s="284"/>
      <c r="F40" s="282"/>
      <c r="G40" s="282"/>
    </row>
    <row r="41" spans="2:7" ht="34.5" thickBot="1" thickTop="1">
      <c r="B41" s="445" t="s">
        <v>107</v>
      </c>
      <c r="C41" s="446"/>
      <c r="D41" s="446"/>
      <c r="E41" s="447"/>
      <c r="F41" s="448">
        <f>C51</f>
        <v>0</v>
      </c>
      <c r="G41" s="449"/>
    </row>
    <row r="42" spans="2:7" ht="21.75" hidden="1">
      <c r="B42" s="285"/>
      <c r="C42" s="286" t="s">
        <v>108</v>
      </c>
      <c r="D42" s="286"/>
      <c r="E42" s="287"/>
      <c r="F42" s="288"/>
      <c r="G42" s="288"/>
    </row>
    <row r="43" spans="3:7" ht="22.5" hidden="1" thickBot="1">
      <c r="C43" s="283"/>
      <c r="D43" s="283"/>
      <c r="E43" s="284"/>
      <c r="F43" s="282"/>
      <c r="G43" s="282"/>
    </row>
    <row r="44" spans="2:7" ht="39" thickBot="1" thickTop="1">
      <c r="B44" s="289" t="s">
        <v>104</v>
      </c>
      <c r="C44" s="433">
        <f>IF(E39-C119&lt;0,0,E39-C119)</f>
        <v>0</v>
      </c>
      <c r="D44" s="434"/>
      <c r="E44" s="290" t="s">
        <v>109</v>
      </c>
      <c r="F44" s="435">
        <f>C50</f>
        <v>0</v>
      </c>
      <c r="G44" s="436"/>
    </row>
    <row r="45" spans="6:7" ht="19.5" hidden="1" thickBot="1" thickTop="1">
      <c r="F45" s="27"/>
      <c r="G45" s="22"/>
    </row>
    <row r="46" spans="2:7" ht="42.75" hidden="1" thickBot="1" thickTop="1">
      <c r="B46" s="437" t="s">
        <v>30</v>
      </c>
      <c r="C46" s="438"/>
      <c r="D46" s="438"/>
      <c r="E46" s="439"/>
      <c r="F46" s="440" t="e">
        <f>E44-C55</f>
        <v>#VALUE!</v>
      </c>
      <c r="G46" s="441"/>
    </row>
    <row r="47" spans="3:7" ht="14.25" hidden="1" thickBot="1" thickTop="1">
      <c r="C47" s="1"/>
      <c r="G47" s="3"/>
    </row>
    <row r="48" spans="2:3" ht="16.5" hidden="1" thickBot="1">
      <c r="B48" s="41" t="s">
        <v>37</v>
      </c>
      <c r="C48" s="42">
        <f>IF(A12&gt;0,A12*0.125%,0)</f>
        <v>0</v>
      </c>
    </row>
    <row r="49" spans="2:6" ht="16.5" hidden="1" thickBot="1">
      <c r="B49" s="38" t="s">
        <v>120</v>
      </c>
      <c r="C49" s="40">
        <f>IF(A9&lt;=0,A12,A12+A9)</f>
        <v>0</v>
      </c>
      <c r="E49" s="428" t="s">
        <v>7</v>
      </c>
      <c r="F49" s="429"/>
    </row>
    <row r="50" spans="2:7" ht="16.5" hidden="1" thickBot="1">
      <c r="B50" s="39" t="s">
        <v>109</v>
      </c>
      <c r="C50" s="43">
        <f>IF(C49&lt;=G55,C49*3%,IF(G6&gt;0,C49*6%,C49*4.5%))</f>
        <v>0</v>
      </c>
      <c r="D50" s="172" t="s">
        <v>62</v>
      </c>
      <c r="E50" s="6">
        <v>0</v>
      </c>
      <c r="F50" s="20">
        <f>3*F55</f>
        <v>5832</v>
      </c>
      <c r="G50" s="168">
        <f>(F50+2)*1.02</f>
        <v>5950.68</v>
      </c>
    </row>
    <row r="51" spans="2:7" ht="16.5" hidden="1" thickBot="1">
      <c r="B51" s="96" t="s">
        <v>0</v>
      </c>
      <c r="C51" s="97">
        <f>E94</f>
        <v>0</v>
      </c>
      <c r="D51" s="42">
        <f>C51+C50+C48</f>
        <v>0</v>
      </c>
      <c r="E51" s="7">
        <v>0.02</v>
      </c>
      <c r="F51" s="21">
        <f>6*F55</f>
        <v>11664</v>
      </c>
      <c r="G51" s="168">
        <f>(F51+35)*1.06</f>
        <v>12400.94</v>
      </c>
    </row>
    <row r="52" spans="2:7" ht="16.5" hidden="1" thickBot="1">
      <c r="B52" s="90" t="s">
        <v>121</v>
      </c>
      <c r="C52" s="91">
        <f>G4</f>
        <v>0</v>
      </c>
      <c r="E52" s="8">
        <v>0.06</v>
      </c>
      <c r="F52" s="171">
        <f>(F55*6)+1</f>
        <v>11665</v>
      </c>
      <c r="G52" s="168">
        <f>(F51+4)*1.02</f>
        <v>11901.36</v>
      </c>
    </row>
    <row r="53" spans="2:7" ht="16.5" hidden="1" thickBot="1">
      <c r="B53" s="92" t="s">
        <v>41</v>
      </c>
      <c r="C53" s="93">
        <f>A25</f>
        <v>0</v>
      </c>
      <c r="E53" s="169"/>
      <c r="F53" s="170"/>
      <c r="G53" s="1"/>
    </row>
    <row r="54" spans="2:7" ht="16.5" hidden="1" thickBot="1">
      <c r="B54" s="94" t="s">
        <v>42</v>
      </c>
      <c r="C54" s="95">
        <f>A29</f>
        <v>0</v>
      </c>
      <c r="D54" s="291">
        <f>C53+C54</f>
        <v>0</v>
      </c>
      <c r="F54" s="2"/>
      <c r="G54" s="291" t="s">
        <v>110</v>
      </c>
    </row>
    <row r="55" spans="2:7" ht="21" hidden="1" thickBot="1">
      <c r="B55" s="98" t="s">
        <v>36</v>
      </c>
      <c r="C55" s="99" t="e">
        <f>#REF!+F44</f>
        <v>#REF!</v>
      </c>
      <c r="E55" s="35" t="s">
        <v>4</v>
      </c>
      <c r="F55" s="89">
        <f>Parámetros!E32</f>
        <v>1944</v>
      </c>
      <c r="G55" s="292">
        <f>2.5*F55</f>
        <v>4860</v>
      </c>
    </row>
    <row r="56" spans="2:3" ht="18.75" hidden="1" thickBot="1">
      <c r="B56" s="158" t="s">
        <v>54</v>
      </c>
      <c r="C56" s="159">
        <f>C48+C50+C51</f>
        <v>0</v>
      </c>
    </row>
    <row r="57" ht="13.5" hidden="1" thickBot="1"/>
    <row r="58" spans="2:5" ht="18.75" hidden="1" thickBot="1">
      <c r="B58" s="374" t="s">
        <v>12</v>
      </c>
      <c r="C58" s="375"/>
      <c r="D58" s="375"/>
      <c r="E58" s="376"/>
    </row>
    <row r="59" spans="2:7" ht="15.75" hidden="1" thickBot="1">
      <c r="B59" s="10" t="s">
        <v>5</v>
      </c>
      <c r="C59" s="9" t="s">
        <v>8</v>
      </c>
      <c r="D59" s="10" t="s">
        <v>9</v>
      </c>
      <c r="E59" s="10" t="s">
        <v>88</v>
      </c>
      <c r="G59" s="165"/>
    </row>
    <row r="60" spans="1:7" ht="12.75" hidden="1">
      <c r="A60">
        <f>G60</f>
        <v>15552</v>
      </c>
      <c r="B60" s="28" t="s">
        <v>111</v>
      </c>
      <c r="C60" s="13">
        <f>'[1]DEDUCCIONES'!D29*5</f>
        <v>0</v>
      </c>
      <c r="D60" s="4">
        <v>0</v>
      </c>
      <c r="E60" s="16">
        <f>C60*D60</f>
        <v>0</v>
      </c>
      <c r="G60" s="298">
        <f>8*Parámetros!E32</f>
        <v>15552</v>
      </c>
    </row>
    <row r="61" spans="1:7" ht="12.75" hidden="1">
      <c r="A61">
        <f>IF(D54&gt;=G61,G60,D54-G60)</f>
        <v>-15552</v>
      </c>
      <c r="B61" s="29" t="s">
        <v>112</v>
      </c>
      <c r="C61" s="14">
        <f>IF(A36&lt;=0,0,A36)</f>
        <v>0</v>
      </c>
      <c r="D61" s="5">
        <v>0.1</v>
      </c>
      <c r="E61" s="17">
        <f>C61*D61</f>
        <v>0</v>
      </c>
      <c r="G61" s="299">
        <f>15*Parámetros!E32</f>
        <v>29160</v>
      </c>
    </row>
    <row r="62" spans="1:7" ht="13.5" hidden="1" thickBot="1">
      <c r="A62">
        <f>IF(D54&gt;=G62,G60,D54-G61)</f>
        <v>-29160</v>
      </c>
      <c r="B62" s="29" t="s">
        <v>16</v>
      </c>
      <c r="C62" s="15">
        <f>IF(A37&lt;=0,0,A37)</f>
        <v>0</v>
      </c>
      <c r="D62" s="5">
        <v>0.15</v>
      </c>
      <c r="E62" s="17">
        <f>C62*D62</f>
        <v>0</v>
      </c>
      <c r="G62" s="300">
        <f>50*Parámetros!E32</f>
        <v>97200</v>
      </c>
    </row>
    <row r="63" spans="1:7" ht="13.5" hidden="1" thickBot="1">
      <c r="A63">
        <f>IF(D54&gt;G62,D54-G62,0)</f>
        <v>0</v>
      </c>
      <c r="B63" s="30" t="s">
        <v>17</v>
      </c>
      <c r="C63" s="31">
        <f>IF(A38&lt;=0,0,A38)</f>
        <v>0</v>
      </c>
      <c r="D63" s="32">
        <v>0.25</v>
      </c>
      <c r="E63" s="33">
        <f>C63*D63</f>
        <v>0</v>
      </c>
      <c r="G63" s="166"/>
    </row>
    <row r="64" spans="3:7" ht="18.75" hidden="1" thickBot="1">
      <c r="C64" s="374" t="s">
        <v>6</v>
      </c>
      <c r="D64" s="376"/>
      <c r="E64" s="18">
        <f>SUM(E61:E62)</f>
        <v>0</v>
      </c>
      <c r="G64" s="166"/>
    </row>
    <row r="65" spans="1:7" ht="12.75" hidden="1">
      <c r="A65" s="295"/>
      <c r="B65" s="295"/>
      <c r="C65" s="27"/>
      <c r="D65" s="27"/>
      <c r="E65" s="296"/>
      <c r="F65" s="295"/>
      <c r="G65" s="297"/>
    </row>
    <row r="66" spans="1:7" ht="12.75" hidden="1">
      <c r="A66" s="295"/>
      <c r="B66" s="295"/>
      <c r="C66" s="27"/>
      <c r="D66" s="27"/>
      <c r="E66" s="296"/>
      <c r="F66" s="295"/>
      <c r="G66" s="297"/>
    </row>
    <row r="67" ht="12.75" hidden="1">
      <c r="G67" s="27"/>
    </row>
    <row r="68" ht="12.75" hidden="1">
      <c r="G68" s="27"/>
    </row>
    <row r="69" ht="13.5" hidden="1" thickBot="1">
      <c r="G69" s="166"/>
    </row>
    <row r="70" spans="2:7" ht="16.5" hidden="1" thickBot="1">
      <c r="B70" s="135" t="s">
        <v>44</v>
      </c>
      <c r="C70" s="136"/>
      <c r="D70" s="137"/>
      <c r="G70" s="167"/>
    </row>
    <row r="71" ht="13.5" hidden="1" thickBot="1">
      <c r="C71" s="132"/>
    </row>
    <row r="72" spans="3:7" ht="13.5" hidden="1" thickBot="1">
      <c r="C72" s="264">
        <f>IF(B12&gt;G51,B12*6%,(IF(B12&lt;=F50,0,IF(AND(B12&gt;F50,B12&lt;=G50),B12*2%-(F50-(B12-(B12*2%))),IF(AND(B12&gt;F51,B12&lt;=G51),B12*6%-(I51-(B12-(B12*6%))),B12*2%)))))</f>
        <v>0</v>
      </c>
      <c r="E72" s="133" t="s">
        <v>46</v>
      </c>
      <c r="G72" s="164"/>
    </row>
    <row r="73" spans="3:7" ht="16.5" hidden="1" thickBot="1">
      <c r="C73" s="264">
        <f>IF(C12&gt;G51,C12*6%,(IF(C12&lt;=F50,0,IF(AND(C12&gt;F50,C12&lt;=G50),C12*2%-(F50-(C12-(C12*2%))),IF(AND(C12&gt;F51,C12&lt;=G51),C12*6%-(I51-(C12-(C12*6%))),C12*2%)))))</f>
        <v>0</v>
      </c>
      <c r="E73" s="93">
        <f>IF(G25&gt;G52,G25*2%,(IF(G25&lt;=F51,0,G25-F51)))+IF(E25&gt;G52,E25*2%,(IF(E25&lt;=F51,0,E25-F51)))+IF(D25&gt;G52,D25*2%,(IF(D25&lt;=F51,0,D25-F51)))</f>
        <v>0</v>
      </c>
      <c r="G73" s="164"/>
    </row>
    <row r="74" spans="3:7" ht="13.5" hidden="1" thickBot="1">
      <c r="C74" s="264">
        <f>IF(D12&gt;G51,D12*6%,(IF(D12&lt;=F50,0,IF(AND(D12&gt;F50,D12&lt;=G50),D12*2%-(F50-(D12-(D12*2%))),IF(AND(D12&gt;F51,D12&lt;=G51),D12*6%-(I51-(D12-(D12*6%))),D12*2%)))))</f>
        <v>0</v>
      </c>
      <c r="G74" s="164"/>
    </row>
    <row r="75" spans="3:5" ht="13.5" hidden="1" thickBot="1">
      <c r="C75" s="264">
        <f>IF(E12&gt;G51,E12*6%,(IF(E12&lt;=F50,0,IF(AND(E12&gt;F50,E12&lt;=G50),E12*2%-(F50-(E12-(E12*2%))),IF(AND(E12&gt;F51,E12&lt;=G51),E12*6%-(I51-(E12-(E12*6%))),E12*2%)))))</f>
        <v>0</v>
      </c>
      <c r="E75" s="134" t="s">
        <v>47</v>
      </c>
    </row>
    <row r="76" spans="3:7" ht="16.5" hidden="1" thickBot="1">
      <c r="C76" s="264">
        <f>IF(F12&gt;G51,F12*6%,(IF(F12&lt;=F50,0,IF(AND(F12&gt;F50,F12&lt;=G50),F12*2%-(F50-(F12-(F12*2%))),IF(AND(F12&gt;F51,F12&lt;=G51),F12*6%-(I51-(F12-(F12*6%))),F12*2%)))))</f>
        <v>0</v>
      </c>
      <c r="E76" s="270">
        <f>IF(G29&gt;G52,G29*2%,(IF(G29&lt;=F51,0,G29-F51)))+IF(E29&gt;G52,E29*2%,(IF(E29&lt;=F51,0,E29-F51)))+IF(D29&gt;G52,D29*2%,(IF(D29&lt;=F51,0,D29-F51)))</f>
        <v>0</v>
      </c>
      <c r="G76" s="164"/>
    </row>
    <row r="77" ht="13.5" hidden="1" thickBot="1">
      <c r="C77" s="264">
        <f>IF(G12&gt;G51,G12*6%,(IF(G12&lt;=F50,0,IF(AND(G12&gt;F50,G12&lt;=G50),G12*2%-(F50-(G12-(G12*2%))),IF(AND(G12&gt;F51,G12&lt;=G51),G12*6%-(I51-(G12-(G12*6%))),G12*2%)))))</f>
        <v>0</v>
      </c>
    </row>
    <row r="78" spans="2:3" ht="18.75" hidden="1" thickBot="1">
      <c r="B78" s="138" t="s">
        <v>45</v>
      </c>
      <c r="C78" s="265">
        <f>SUM(C72:C77)</f>
        <v>0</v>
      </c>
    </row>
    <row r="79" ht="13.5" hidden="1" thickBot="1"/>
    <row r="80" spans="2:4" ht="16.5" hidden="1" thickBot="1">
      <c r="B80" s="430" t="s">
        <v>48</v>
      </c>
      <c r="C80" s="431"/>
      <c r="D80" s="432"/>
    </row>
    <row r="81" ht="12.75" hidden="1">
      <c r="C81" s="266">
        <f>IF(G9&gt;G51,G9*6%,(IF(G9&lt;=F50,0,IF(AND(G9&gt;F50,G9&lt;=G50),G9*2%-(F50-(G9-(G9*2%))),IF(AND(G9&gt;F51,G9&lt;=G51),G9*6%-(I51-(G9-(G9*6%))),G9*2%)))))</f>
        <v>0</v>
      </c>
    </row>
    <row r="82" ht="12.75" hidden="1">
      <c r="C82" s="267">
        <f>IF(E9&gt;G51,E9*6%,(IF(E9&lt;=F50,0,IF(AND(E9&gt;F50,E9&lt;=G50),E9*2%-(F50-(E9-(E9*2%))),IF(AND(E9&gt;F51,E9&lt;=G51),E9*6%-(I51-(E9-(E9*6%))),E9*2%)))))</f>
        <v>0</v>
      </c>
    </row>
    <row r="83" ht="13.5" hidden="1" thickBot="1">
      <c r="C83" s="268">
        <f>IF(D9&gt;G51,D9*6%,(IF(D9&lt;=F50,0,IF(AND(D9&gt;F50,D9&lt;=G50),D9*2%-(F50-(D9-(D9*2%))),IF(AND(D9&gt;F51,D9&lt;=G51),D9*6%-(I51-(D9-(D9*6%))),D9*2%)))))</f>
        <v>0</v>
      </c>
    </row>
    <row r="84" spans="2:3" ht="18.75" hidden="1" thickBot="1">
      <c r="B84" s="143" t="s">
        <v>45</v>
      </c>
      <c r="C84" s="269">
        <f>SUM(C81:C83)</f>
        <v>0</v>
      </c>
    </row>
    <row r="85" ht="12.75" hidden="1"/>
    <row r="86" ht="12.75" hidden="1"/>
    <row r="87" ht="12.75" hidden="1"/>
    <row r="88" ht="13.5" hidden="1" thickBot="1"/>
    <row r="89" spans="3:5" ht="13.5" hidden="1" thickBot="1">
      <c r="C89" s="418" t="s">
        <v>49</v>
      </c>
      <c r="D89" s="419"/>
      <c r="E89" s="86">
        <f>Parámetros!E57</f>
        <v>59414</v>
      </c>
    </row>
    <row r="90" ht="13.5" hidden="1" thickBot="1"/>
    <row r="91" spans="4:5" ht="16.5" hidden="1" thickBot="1">
      <c r="D91" s="85" t="s">
        <v>50</v>
      </c>
      <c r="E91" s="156">
        <f>C49*15%</f>
        <v>0</v>
      </c>
    </row>
    <row r="92" spans="4:5" ht="16.5" hidden="1" thickBot="1">
      <c r="D92" s="85" t="s">
        <v>51</v>
      </c>
      <c r="E92" s="156">
        <f>IF(C49&lt;=E89,C49*15%,E89*15%)</f>
        <v>0</v>
      </c>
    </row>
    <row r="93" ht="13.5" hidden="1" thickBot="1">
      <c r="E93" s="1"/>
    </row>
    <row r="94" spans="4:5" ht="18.75" hidden="1" thickBot="1">
      <c r="D94" s="85" t="s">
        <v>53</v>
      </c>
      <c r="E94" s="157">
        <f>IF(G7=1,E92,E91)</f>
        <v>0</v>
      </c>
    </row>
    <row r="95" ht="13.5" hidden="1" thickBot="1"/>
    <row r="96" spans="2:7" ht="27.75" hidden="1" thickBot="1" thickTop="1">
      <c r="B96" s="420" t="s">
        <v>22</v>
      </c>
      <c r="C96" s="421"/>
      <c r="D96" s="421"/>
      <c r="E96" s="421"/>
      <c r="F96" s="421"/>
      <c r="G96" s="184">
        <f>C119</f>
        <v>0</v>
      </c>
    </row>
    <row r="97" ht="13.5" hidden="1" thickBot="1"/>
    <row r="98" spans="2:4" ht="21" hidden="1" thickBot="1">
      <c r="B98" s="397" t="s">
        <v>11</v>
      </c>
      <c r="C98" s="398"/>
      <c r="D98" s="399"/>
    </row>
    <row r="99" spans="2:5" ht="18.75" hidden="1" thickBot="1">
      <c r="B99" s="422" t="s">
        <v>64</v>
      </c>
      <c r="C99" s="423"/>
      <c r="D99" s="424"/>
      <c r="E99" s="215">
        <f>Parámetros!E4</f>
        <v>2106</v>
      </c>
    </row>
    <row r="100" ht="13.5" hidden="1" thickBot="1"/>
    <row r="101" spans="2:4" ht="21" hidden="1" thickBot="1">
      <c r="B101" s="403" t="s">
        <v>11</v>
      </c>
      <c r="C101" s="404"/>
      <c r="D101" s="405"/>
    </row>
    <row r="102" spans="2:5" ht="18.75" hidden="1" thickBot="1">
      <c r="B102" s="425" t="s">
        <v>114</v>
      </c>
      <c r="C102" s="426"/>
      <c r="D102" s="427"/>
      <c r="E102" s="126">
        <f>Parámetros!E9</f>
        <v>4212</v>
      </c>
    </row>
    <row r="103" ht="13.5" hidden="1" thickBot="1"/>
    <row r="104" spans="1:7" ht="16.5" hidden="1" thickBot="1">
      <c r="A104" s="382" t="s">
        <v>23</v>
      </c>
      <c r="B104" s="396"/>
      <c r="C104" s="383"/>
      <c r="E104" s="382" t="s">
        <v>25</v>
      </c>
      <c r="F104" s="396"/>
      <c r="G104" s="383"/>
    </row>
    <row r="105" spans="2:6" ht="18.75" hidden="1" thickBot="1">
      <c r="B105" s="46">
        <f>IF(G5=0,0,(E94+C50+C48+(C20/12)+(F20/12)+C21+F21+(G14*E99)+(G16*E102)))</f>
        <v>0</v>
      </c>
      <c r="E105" s="84">
        <f>IF(A25&gt;E128,A25*1%,A25*3%)</f>
        <v>0</v>
      </c>
      <c r="F105" s="49">
        <f>IF(A25&lt;=0,0,IF(AND(A29&lt;=0,B105&lt;=0),F108,IF(AND(A29&lt;=0,E105&gt;0),E102+E105,F108)))</f>
        <v>0</v>
      </c>
    </row>
    <row r="106" spans="2:6" ht="18.75" hidden="1" thickBot="1">
      <c r="B106" s="87"/>
      <c r="E106" s="88"/>
      <c r="F106" s="49"/>
    </row>
    <row r="107" ht="13.5" hidden="1" thickBot="1"/>
    <row r="108" spans="1:6" ht="16.5" hidden="1" thickBot="1">
      <c r="A108" s="83"/>
      <c r="C108" s="382" t="s">
        <v>26</v>
      </c>
      <c r="D108" s="383"/>
      <c r="E108" s="85">
        <f>IF(G5&lt;=0,(C20/12)+(F20/12)+C21+F21+G14*E99+G16*E102,0)</f>
        <v>0</v>
      </c>
      <c r="F108" s="86">
        <f>E108+E105+E102</f>
        <v>4212</v>
      </c>
    </row>
    <row r="109" spans="3:4" ht="21" hidden="1" thickBot="1">
      <c r="C109" s="384">
        <f>IF(A29&lt;=0,0,IF(AND(A25&lt;=0,B105&lt;=0),F108,IF(AND(A25&lt;=0,B105&gt;0),F108,0)))</f>
        <v>0</v>
      </c>
      <c r="D109" s="385"/>
    </row>
    <row r="110" spans="3:4" ht="21" hidden="1" thickBot="1">
      <c r="C110" s="36"/>
      <c r="D110" s="36"/>
    </row>
    <row r="111" spans="2:5" ht="24" hidden="1" thickBot="1">
      <c r="B111" s="388" t="s">
        <v>35</v>
      </c>
      <c r="C111" s="389"/>
      <c r="D111" s="390"/>
      <c r="E111" s="47">
        <f>B105</f>
        <v>0</v>
      </c>
    </row>
    <row r="112" ht="13.5" hidden="1" thickBot="1"/>
    <row r="113" spans="2:7" ht="13.5" hidden="1" thickBot="1">
      <c r="B113" s="41" t="s">
        <v>5</v>
      </c>
      <c r="C113" s="52" t="s">
        <v>18</v>
      </c>
      <c r="D113" s="41" t="s">
        <v>9</v>
      </c>
      <c r="E113" s="53" t="s">
        <v>88</v>
      </c>
      <c r="G113" s="54" t="s">
        <v>5</v>
      </c>
    </row>
    <row r="114" spans="1:7" ht="15" hidden="1">
      <c r="A114" s="37">
        <f>IF(E111&lt;=G114,E111,G114)</f>
        <v>0</v>
      </c>
      <c r="B114" s="100" t="s">
        <v>115</v>
      </c>
      <c r="C114" s="101">
        <f>IF(A114&lt;=0,0,A114)</f>
        <v>0</v>
      </c>
      <c r="D114" s="102">
        <v>0.1</v>
      </c>
      <c r="E114" s="103">
        <f>C114*D114</f>
        <v>0</v>
      </c>
      <c r="G114" s="122">
        <f>3*Parámetros!E32</f>
        <v>5832</v>
      </c>
    </row>
    <row r="115" spans="1:7" ht="15" hidden="1">
      <c r="A115" s="37">
        <f>IF(E111&gt;=G115,G115-G114,E111-G114)</f>
        <v>-5832</v>
      </c>
      <c r="B115" s="104" t="s">
        <v>116</v>
      </c>
      <c r="C115" s="105">
        <f>IF(A115&lt;=0,0,A115)</f>
        <v>0</v>
      </c>
      <c r="D115" s="106">
        <v>0.15</v>
      </c>
      <c r="E115" s="107">
        <f>C115*D115</f>
        <v>0</v>
      </c>
      <c r="G115" s="123">
        <f>8*Parámetros!E32</f>
        <v>15552</v>
      </c>
    </row>
    <row r="116" spans="1:7" ht="15" hidden="1">
      <c r="A116" s="37">
        <f>IF(E111&gt;=G116,G116-G115,E111-G115)</f>
        <v>-15552</v>
      </c>
      <c r="B116" s="108" t="s">
        <v>117</v>
      </c>
      <c r="C116" s="109">
        <f>IF(A116&lt;=0,0,A116)</f>
        <v>0</v>
      </c>
      <c r="D116" s="110">
        <v>0.2</v>
      </c>
      <c r="E116" s="111">
        <f>C116*D116</f>
        <v>0</v>
      </c>
      <c r="G116" s="124">
        <f>43*Parámetros!E32</f>
        <v>83592</v>
      </c>
    </row>
    <row r="117" spans="1:7" ht="15.75" hidden="1" thickBot="1">
      <c r="A117" s="37">
        <f>IF(E111&gt;=G117,G117-G116,E111-G116)</f>
        <v>-83592</v>
      </c>
      <c r="B117" s="112" t="s">
        <v>118</v>
      </c>
      <c r="C117" s="113">
        <f>IF(A117&lt;=0,0,A117)</f>
        <v>0</v>
      </c>
      <c r="D117" s="114">
        <v>0.22</v>
      </c>
      <c r="E117" s="115">
        <f>C117*D117</f>
        <v>0</v>
      </c>
      <c r="G117" s="125">
        <f>93*Parámetros!E32</f>
        <v>180792</v>
      </c>
    </row>
    <row r="118" spans="1:5" ht="15.75" hidden="1" thickBot="1">
      <c r="A118" s="37">
        <f>IF(E111&gt;G117,E111-G117,0)</f>
        <v>0</v>
      </c>
      <c r="B118" s="116" t="s">
        <v>119</v>
      </c>
      <c r="C118" s="117">
        <f>IF(A118&lt;=0,0,A118)</f>
        <v>0</v>
      </c>
      <c r="D118" s="182">
        <v>0.25</v>
      </c>
      <c r="E118" s="183">
        <f>C118*D118</f>
        <v>0</v>
      </c>
    </row>
    <row r="119" spans="2:5" ht="27" hidden="1" thickBot="1">
      <c r="B119" s="120"/>
      <c r="C119" s="411">
        <f>SUM(E114:E118)</f>
        <v>0</v>
      </c>
      <c r="D119" s="412"/>
      <c r="E119" s="413"/>
    </row>
    <row r="120" ht="12.75" hidden="1"/>
    <row r="121" ht="13.5" hidden="1" thickBot="1"/>
    <row r="122" spans="4:5" ht="24" hidden="1" thickBot="1">
      <c r="D122" s="34" t="s">
        <v>4</v>
      </c>
      <c r="E122" s="81">
        <f>Parámetros!E32</f>
        <v>1944</v>
      </c>
    </row>
    <row r="123" ht="12.75" hidden="1"/>
    <row r="124" ht="13.5" hidden="1" thickBot="1"/>
    <row r="125" spans="3:5" ht="21" hidden="1" thickBot="1">
      <c r="C125" s="391" t="s">
        <v>39</v>
      </c>
      <c r="D125" s="392"/>
      <c r="E125" s="50">
        <f>3*E122</f>
        <v>5832</v>
      </c>
    </row>
    <row r="126" spans="3:5" ht="16.5" hidden="1" thickBot="1">
      <c r="C126" s="414" t="s">
        <v>24</v>
      </c>
      <c r="D126" s="415"/>
      <c r="E126" s="45">
        <f>3*E122+1</f>
        <v>5833</v>
      </c>
    </row>
    <row r="127" ht="13.5" hidden="1" thickBot="1"/>
    <row r="128" spans="3:5" ht="21" hidden="1" thickBot="1">
      <c r="C128" s="416" t="s">
        <v>31</v>
      </c>
      <c r="D128" s="417"/>
      <c r="E128" s="82">
        <f>Parámetros!E45</f>
        <v>5519.29</v>
      </c>
    </row>
    <row r="129" ht="12.75" hidden="1"/>
    <row r="130" ht="13.5" hidden="1" thickBot="1"/>
    <row r="131" spans="3:5" ht="21.75" hidden="1" thickBot="1" thickTop="1">
      <c r="C131" s="409" t="s">
        <v>52</v>
      </c>
      <c r="D131" s="410"/>
      <c r="E131" s="181">
        <f>Parámetros!E57</f>
        <v>59414</v>
      </c>
    </row>
    <row r="132" ht="12.75" hidden="1"/>
    <row r="133" ht="12.75" hidden="1"/>
    <row r="134" ht="13.5" thickTop="1"/>
  </sheetData>
  <sheetProtection password="E71E" sheet="1" objects="1" scenarios="1"/>
  <mergeCells count="45">
    <mergeCell ref="C3:E3"/>
    <mergeCell ref="B4:F4"/>
    <mergeCell ref="B6:F6"/>
    <mergeCell ref="B7:F7"/>
    <mergeCell ref="B8:F8"/>
    <mergeCell ref="B11:F11"/>
    <mergeCell ref="B13:F13"/>
    <mergeCell ref="B14:F14"/>
    <mergeCell ref="B16:F16"/>
    <mergeCell ref="B18:F18"/>
    <mergeCell ref="B19:F19"/>
    <mergeCell ref="C23:E23"/>
    <mergeCell ref="B24:G24"/>
    <mergeCell ref="C27:E27"/>
    <mergeCell ref="B28:G28"/>
    <mergeCell ref="B31:E31"/>
    <mergeCell ref="F31:G31"/>
    <mergeCell ref="C39:D39"/>
    <mergeCell ref="F39:G39"/>
    <mergeCell ref="B41:E41"/>
    <mergeCell ref="F41:G41"/>
    <mergeCell ref="C44:D44"/>
    <mergeCell ref="F44:G44"/>
    <mergeCell ref="B46:E46"/>
    <mergeCell ref="F46:G46"/>
    <mergeCell ref="E49:F49"/>
    <mergeCell ref="B58:E58"/>
    <mergeCell ref="C64:D64"/>
    <mergeCell ref="B80:D80"/>
    <mergeCell ref="C89:D89"/>
    <mergeCell ref="B96:F96"/>
    <mergeCell ref="B98:D98"/>
    <mergeCell ref="B99:D99"/>
    <mergeCell ref="B101:D101"/>
    <mergeCell ref="B102:D102"/>
    <mergeCell ref="A104:C104"/>
    <mergeCell ref="E104:G104"/>
    <mergeCell ref="C108:D108"/>
    <mergeCell ref="C109:D109"/>
    <mergeCell ref="B111:D111"/>
    <mergeCell ref="C119:E119"/>
    <mergeCell ref="C125:D125"/>
    <mergeCell ref="C126:D126"/>
    <mergeCell ref="C128:D128"/>
    <mergeCell ref="C131:D131"/>
  </mergeCells>
  <dataValidations count="26">
    <dataValidation type="whole" allowBlank="1" showInputMessage="1" showErrorMessage="1" errorTitle="Dato no válido" error="Solo podrás ingresar números enteros, sin decimales. Tampoco digites puntos o comas." sqref="G14:G19">
      <formula1>0</formula1>
      <formula2>1E+33</formula2>
    </dataValidation>
    <dataValidation type="whole" allowBlank="1" showInputMessage="1" showErrorMessage="1" sqref="G8">
      <formula1>0</formula1>
      <formula2>1E+33</formula2>
    </dataValidation>
    <dataValidation type="whole" allowBlank="1" showInputMessage="1" showErrorMessage="1" promptTitle="PASIVIDAD" prompt="DIGITA AQUÍ DONDE ESTAS PARADO, EL IMPORTE DE TU PASIVIDAD NOMINAL, SIN DECIMALES Y SIN AGREGAR PUNTOS O COMAS. " sqref="G26">
      <formula1>0</formula1>
      <formula2>1E+37</formula2>
    </dataValidation>
    <dataValidation type="whole" allowBlank="1" showInputMessage="1" showErrorMessage="1" promptTitle="SUELDO" prompt="DIGITÁ AQUÍ DONDE ESTAS POSICIONADO, TU SUELDO NOMINAL O BRUTO SIN RESTARLE NINGUNA PARTIDA, (VER HOJA GUIA TRABAJADOR.&#10;INGRESALO SIN DECIMALES Y SIN AGREGAR PUNTOS O COMAS." errorTitle="Dato no válido" error="Solo podrás ingresar números enteros, sin decimales. Tampoco digites puntos o comas." sqref="G5">
      <formula1>0</formula1>
      <formula2>1E+36</formula2>
    </dataValidation>
    <dataValidation allowBlank="1" showInputMessage="1" showErrorMessage="1" promptTitle="B.P.C." prompt="Ingresar el valor actual de la Base de Prestaciones y Contribuciones, decretada por el Poder Ejecutivo" sqref="F55"/>
    <dataValidation type="whole" allowBlank="1" showInputMessage="1" showErrorMessage="1" promptTitle="PENSION" prompt="DIGITAR EL IMPORTE DE TU PENSIÓN NOMINAL, SIN DECIMALES. TAMPOCO DIGITES PUNTOS O COMAS.&#10;EN CASO DE TENER MAS DE UNA PENSIÓN, INGRESAR UNA POR CELDA.&#10;VER HOJA DE GUIA PENSIÓN." errorTitle="Dato no válido." error="Solo podras ingresar números enteros, sin decimales, puntos o comas" sqref="G29">
      <formula1>0</formula1>
      <formula2>1E+37</formula2>
    </dataValidation>
    <dataValidation type="whole" allowBlank="1" showInputMessage="1" showErrorMessage="1" promptTitle="JUBILACIÓN" prompt="DIGITAR AQUÍ, EL IMPORTE DE TU JUBILACIÓN NOMINAL, SIN DECIMALES Y SIN AGREGAR PUNTOS O COMAS. &#10;EN CASO DE TENER MAS DE UNA JUBILACIÓN, INGRESAR UNA JUBILACIÓN POR CELDA.&#10;VER HOJA DE GUIA JUBILACIÓN." errorTitle="Dato no válido" error="Solo podras ingresar números enteros, sin decimales, puntos o comas." sqref="G25">
      <formula1>0</formula1>
      <formula2>1E+37</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errorTitle="Dato no válido" error="Debes ingresar un número entero, sin decimilas, ni comas ni puntos." sqref="G10">
      <formula1>0</formula1>
      <formula2>1E+33</formula2>
    </dataValidation>
    <dataValidation type="whole" allowBlank="1" showInputMessage="1" showErrorMessage="1" promptTitle="BRUTO SIN PARTIDAS NO GRAVADAS" prompt="Ingresá tu SUELDO NOMINAL restandole al mismo las partidas no gravadas por el B.P.S. Por ejemplo: TICKETS ALIMENTACIÒN, TICKETS TRANSPORTE,  SEGUNDO AGUINALDO y otros, (ver hoja GUIA TRABAJADOR, punto 3). &#10;Ingresá el monto sin decimales, puntos o comas." errorTitle="Dato no válido" error="Debes ingresar un número entero, sin decimilas, ni comas ni puntos." sqref="G12">
      <formula1>0</formula1>
      <formula2>1E+33</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VER HOJA GUIA TRABAJADOR, punto 3). Ingresalo sin decimales, puntos o comas." errorTitle="Dato no válido" error="Debes ingresar un número entero, sin decimilas, ni comas ni puntos." sqref="G9">
      <formula1>0</formula1>
      <formula2>1E+33</formula2>
    </dataValidation>
    <dataValidation type="whole" allowBlank="1" showInputMessage="1" showErrorMessage="1" promptTitle="APORTES a CAJA de PROFESIONALES " prompt="Ingresar el aporte mensual a la CAJA DE JUBILACIONES y PENSIONES DE PROFESIONALES UNIVERSITARIOS." errorTitle="Dato no válido" error="Debe ingresar un número entero." sqref="C21">
      <formula1>1</formula1>
      <formula2>1000000000000000000</formula2>
    </dataValidation>
    <dataValidation type="whole" allowBlank="1" showInputMessage="1" showErrorMessage="1" promptTitle="REINTEGROS CAJA PROFESIONAL" prompt="Ingresar el importe mensual de los REINTEGROS de CAJA DE JUBILACIONES Y PENSIONES DE PROFESIONALES UNIVERSITARIOS." errorTitle="Dato no válido" error="Ingresar un número entero, sin puntos ni comas." sqref="F21">
      <formula1>1</formula1>
      <formula2>10000000000000000000</formula2>
    </dataValidation>
    <dataValidation type="whole" allowBlank="1" showInputMessage="1" showErrorMessage="1" promptTitle="FONDO DE SOLIDARIDAD" prompt="Ingresar la cifra anual que se paga por concepto de Fondo de Solidaridad. En caso de los Técnicos de Administración es la mitad de una B.P.C." errorTitle="Dato no válido" error="Debe ingresar un número entero." sqref="C20">
      <formula1>1</formula1>
      <formula2>1000000000000000000</formula2>
    </dataValidation>
    <dataValidation type="whole" allowBlank="1" showInputMessage="1" showErrorMessage="1" promptTitle="ADICIONAL F.de SOLIDARIDAD" prompt="Ingresar el importe anual por concepto de adicional del FONDO de SOLIDARIDAD" errorTitle="Dato no válido" error="Ingresar un número entero" sqref="F20">
      <formula1>1</formula1>
      <formula2>10000000000000000000</formula2>
    </dataValidation>
    <dataValidation type="whole" allowBlank="1" showInputMessage="1" showErrorMessage="1" promptTitle="MULTIEMPLEO PUBLICO" prompt="Registrar un sueldo por empresa y por celda." errorTitle="Dato no válidoc" error="Debes ingresar un número entero, sin puntos ni comas." sqref="D9:E9">
      <formula1>0</formula1>
      <formula2>1000000000000000000</formula2>
    </dataValidation>
    <dataValidation type="whole" allowBlank="1" showInputMessage="1" showErrorMessage="1" promptTitle="MULTIEMPLEO PRIVADO" prompt="Registrar un sueldo por empresa y por celda." errorTitle="Dato no válido" error="Tienes que ingresar un número entero, sin puntos ni comas." sqref="B12:F12">
      <formula1>0</formula1>
      <formula2>1E+22</formula2>
    </dataValidation>
    <dataValidation type="whole" allowBlank="1" showInputMessage="1" showErrorMessage="1" promptTitle="MULTI-JUBILACIÓN" prompt="Registrar una jubilación por celda." errorTitle="Dato no válido" error="Ingresar un número entero, sin comas ni puntos." sqref="D25:E25">
      <formula1>0</formula1>
      <formula2>1000000000000000000</formula2>
    </dataValidation>
    <dataValidation type="whole" allowBlank="1" showInputMessage="1" showErrorMessage="1" promptTitle="MULTI-PENSIÓN" prompt="Ingresar una pensión por celda" errorTitle="Dato no válido" error="Ingresar un número entero, sin puntos ni comas." sqref="D29:E29">
      <formula1>0</formula1>
      <formula2>10000000000000000</formula2>
    </dataValidation>
    <dataValidation type="whole" allowBlank="1" showInputMessage="1" showErrorMessage="1" promptTitle="REGIMEN NUEVO O DE TRANSICIÓN" prompt="Se debe marcar 1 en caso de NUEVO REGIMEN.&#10;Se debe marcar 2 en caso de REGIMEN de TRANSICIÓN." errorTitle="Dato no válido" error="Solo se puede ingresar el valor 1 o el valor 2" sqref="G7">
      <formula1>1</formula1>
      <formula2>2</formula2>
    </dataValidation>
    <dataValidation type="whole" allowBlank="1" showInputMessage="1" showErrorMessage="1" sqref="F46:G46">
      <formula1>0</formula1>
      <formula2>10000000000000000</formula2>
    </dataValidation>
    <dataValidation type="whole" allowBlank="1" showInputMessage="1" showErrorMessage="1" sqref="G27">
      <formula1>0</formula1>
      <formula2>1E+37</formula2>
    </dataValidation>
    <dataValidation type="whole" allowBlank="1" showInputMessage="1" showErrorMessage="1" promptTitle="SUELDO NOMINAL" prompt="DEBE INGRESAR EL SUELDO NOMINAL SIN RESTAR NINGUNA PARTIDA. (VER GUIA TRABAJADOR)" errorTitle="Dato no válido" error="Debe ingresar un número entero, sin comas ni puntos." sqref="G4">
      <formula1>0</formula1>
      <formula2>1E+23</formula2>
    </dataValidation>
    <dataValidation type="whole" allowBlank="1" showInputMessage="1" showErrorMessage="1" promptTitle="HIJOS MENORES DE 18 AÑOS" prompt="DIGITÁ AQUÍ DONDE ESTAS POSICIONADO, 1 SI TENES HIJOS MENORES DE 18 AÑOS O DISCAPACITADOS DE CUALQUIER EDAD A TU CARGO. DE LO CONTRARIO DIGITAR 0." errorTitle="Dato no válido" error="Solo podrás ingresar 1 o 0." sqref="G6">
      <formula1>0</formula1>
      <formula2>1</formula2>
    </dataValidation>
    <dataValidation type="whole" allowBlank="1" showInputMessage="1" showErrorMessage="1" promptTitle="B.P.C." prompt="Ingresar el valor de la BASE de PRESTACIONES y CONTRIBUCIONES. Ingresar el valor vigente, decretado por el Poder Ejecutivo. Varía en cada ocación de aumento de salarios a los funcionarios públicos." errorTitle="Dato no válido" error="Ingresar una cifra entera, sin decimales ni puntos ni comas." sqref="E122">
      <formula1>0</formula1>
      <formula2>1000000000000</formula2>
    </dataValidation>
    <dataValidation type="decimal" allowBlank="1" showInputMessage="1" showErrorMessage="1" promptTitle="TOPE CUOTA MUTUAL" prompt="Ingresar en esta celda el valor establecido por el Poder Ejecutivo, que hace de tope para poseer el derecho a la cuota mutual, para aquellas personas que se jubilaron como empleados en su última actividad laboral." errorTitle="Dato no válido" error="Debe ingresar un número con hasta dos decimales." sqref="E128">
      <formula1>0</formula1>
      <formula2>10000000000000</formula2>
    </dataValidation>
    <dataValidation allowBlank="1" showInputMessage="1" showErrorMessage="1" promptTitle="TOPE TERCER NIVEL, LEY 16713" prompt="Establecer el valor que fija el Poder Ejecutivo, como tope del aporte personal jubilatorio, para aquellas personas que están dentro del nuevo régimen, (solidaridad intergeneracional y AFAP)" sqref="E131"/>
  </dataValidations>
  <printOptions/>
  <pageMargins left="0.75" right="0.75" top="1" bottom="1" header="0" footer="0"/>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3:I131"/>
  <sheetViews>
    <sheetView workbookViewId="0" topLeftCell="B3">
      <selection activeCell="C20" sqref="C20"/>
    </sheetView>
  </sheetViews>
  <sheetFormatPr defaultColWidth="11.421875" defaultRowHeight="12.75"/>
  <cols>
    <col min="1" max="1" width="17.57421875" style="0" hidden="1" customWidth="1"/>
    <col min="2" max="2" width="18.140625" style="0" customWidth="1"/>
    <col min="3" max="3" width="15.57421875" style="0" customWidth="1"/>
    <col min="4" max="4" width="17.421875" style="0" customWidth="1"/>
    <col min="5" max="5" width="19.57421875" style="0" customWidth="1"/>
    <col min="6" max="6" width="13.00390625" style="0" customWidth="1"/>
    <col min="7" max="7" width="18.8515625" style="0" customWidth="1"/>
    <col min="9" max="9" width="0" style="0" hidden="1" customWidth="1"/>
  </cols>
  <sheetData>
    <row r="1" ht="13.5" hidden="1" thickBot="1"/>
    <row r="2" ht="13.5" hidden="1" thickBot="1"/>
    <row r="3" spans="3:5" ht="27" thickBot="1" thickTop="1">
      <c r="C3" s="478" t="s">
        <v>27</v>
      </c>
      <c r="D3" s="479"/>
      <c r="E3" s="480"/>
    </row>
    <row r="4" spans="2:7" ht="21.75" thickBot="1" thickTop="1">
      <c r="B4" s="481" t="s">
        <v>33</v>
      </c>
      <c r="C4" s="482"/>
      <c r="D4" s="482"/>
      <c r="E4" s="482"/>
      <c r="F4" s="483"/>
      <c r="G4" s="273"/>
    </row>
    <row r="5" spans="2:7" ht="24" hidden="1" thickBot="1" thickTop="1">
      <c r="B5" s="11"/>
      <c r="C5" s="11"/>
      <c r="D5" s="11"/>
      <c r="E5" s="23"/>
      <c r="F5" s="11"/>
      <c r="G5" s="274"/>
    </row>
    <row r="6" spans="2:7" ht="30" customHeight="1" thickBot="1" thickTop="1">
      <c r="B6" s="484" t="s">
        <v>102</v>
      </c>
      <c r="C6" s="485"/>
      <c r="D6" s="485"/>
      <c r="E6" s="485"/>
      <c r="F6" s="486"/>
      <c r="G6" s="275"/>
    </row>
    <row r="7" spans="2:7" ht="30" customHeight="1" thickBot="1">
      <c r="B7" s="487" t="s">
        <v>103</v>
      </c>
      <c r="C7" s="488"/>
      <c r="D7" s="488"/>
      <c r="E7" s="488"/>
      <c r="F7" s="489"/>
      <c r="G7" s="276"/>
    </row>
    <row r="8" spans="2:7" ht="30" customHeight="1" thickBot="1" thickTop="1">
      <c r="B8" s="466" t="s">
        <v>57</v>
      </c>
      <c r="C8" s="467"/>
      <c r="D8" s="467"/>
      <c r="E8" s="467"/>
      <c r="F8" s="468"/>
      <c r="G8" s="162"/>
    </row>
    <row r="9" spans="1:7" ht="21.75" thickBot="1" thickTop="1">
      <c r="A9" s="293">
        <f>D9+E9+G9</f>
        <v>0</v>
      </c>
      <c r="B9" s="48"/>
      <c r="C9" s="48"/>
      <c r="D9" s="151"/>
      <c r="E9" s="152"/>
      <c r="F9" s="48"/>
      <c r="G9" s="153"/>
    </row>
    <row r="10" spans="2:7" ht="21.75" hidden="1" thickBot="1">
      <c r="B10" s="144"/>
      <c r="C10" s="48"/>
      <c r="D10" s="48"/>
      <c r="E10" s="48"/>
      <c r="F10" s="48"/>
      <c r="G10" s="12"/>
    </row>
    <row r="11" spans="2:7" ht="30" customHeight="1" thickBot="1" thickTop="1">
      <c r="B11" s="469" t="s">
        <v>63</v>
      </c>
      <c r="C11" s="470"/>
      <c r="D11" s="470"/>
      <c r="E11" s="470"/>
      <c r="F11" s="471"/>
      <c r="G11" s="162"/>
    </row>
    <row r="12" spans="1:7" ht="21.75" thickBot="1" thickTop="1">
      <c r="A12" s="293">
        <f>B12+C12+D12+E12+F12+G12</f>
        <v>0</v>
      </c>
      <c r="B12" s="141"/>
      <c r="C12" s="140"/>
      <c r="D12" s="141"/>
      <c r="E12" s="140"/>
      <c r="F12" s="142"/>
      <c r="G12" s="131"/>
    </row>
    <row r="13" spans="2:7" ht="26.25" thickBot="1">
      <c r="B13" s="472" t="s">
        <v>27</v>
      </c>
      <c r="C13" s="473"/>
      <c r="D13" s="473"/>
      <c r="E13" s="473"/>
      <c r="F13" s="474"/>
      <c r="G13" s="162"/>
    </row>
    <row r="14" spans="2:7" ht="21.75" thickBot="1" thickTop="1">
      <c r="B14" s="475" t="s">
        <v>60</v>
      </c>
      <c r="C14" s="476"/>
      <c r="D14" s="476"/>
      <c r="E14" s="476"/>
      <c r="F14" s="477"/>
      <c r="G14" s="127"/>
    </row>
    <row r="15" spans="2:7" ht="21.75" hidden="1" thickBot="1" thickTop="1">
      <c r="B15" s="145"/>
      <c r="C15" s="277"/>
      <c r="D15" s="277"/>
      <c r="E15" s="277"/>
      <c r="F15" s="277"/>
      <c r="G15" s="128"/>
    </row>
    <row r="16" spans="2:7" ht="30" customHeight="1" thickBot="1" thickTop="1">
      <c r="B16" s="460" t="s">
        <v>61</v>
      </c>
      <c r="C16" s="461"/>
      <c r="D16" s="461"/>
      <c r="E16" s="461"/>
      <c r="F16" s="462"/>
      <c r="G16" s="173"/>
    </row>
    <row r="17" spans="2:7" ht="21.75" hidden="1" thickBot="1" thickTop="1">
      <c r="B17" s="150"/>
      <c r="C17" s="150"/>
      <c r="D17" s="150"/>
      <c r="E17" s="150"/>
      <c r="F17" s="150"/>
      <c r="G17" s="129"/>
    </row>
    <row r="18" spans="2:7" ht="27" thickBot="1" thickTop="1">
      <c r="B18" s="453" t="s">
        <v>27</v>
      </c>
      <c r="C18" s="454"/>
      <c r="D18" s="454"/>
      <c r="E18" s="454"/>
      <c r="F18" s="455"/>
      <c r="G18" s="162"/>
    </row>
    <row r="19" spans="2:7" ht="18" thickBot="1" thickTop="1">
      <c r="B19" s="463" t="s">
        <v>43</v>
      </c>
      <c r="C19" s="464"/>
      <c r="D19" s="464"/>
      <c r="E19" s="464"/>
      <c r="F19" s="465"/>
      <c r="G19" s="163"/>
    </row>
    <row r="20" spans="2:7" ht="28.5" thickBot="1" thickTop="1">
      <c r="B20" s="174" t="s">
        <v>32</v>
      </c>
      <c r="C20" s="175"/>
      <c r="D20" s="26"/>
      <c r="E20" s="177" t="s">
        <v>34</v>
      </c>
      <c r="F20" s="175"/>
      <c r="G20" s="162"/>
    </row>
    <row r="21" spans="2:7" ht="24" thickBot="1" thickTop="1">
      <c r="B21" s="176" t="s">
        <v>55</v>
      </c>
      <c r="C21" s="175"/>
      <c r="D21" s="26"/>
      <c r="E21" s="178" t="s">
        <v>56</v>
      </c>
      <c r="F21" s="175"/>
      <c r="G21" s="162"/>
    </row>
    <row r="22" spans="2:7" ht="21.75" hidden="1" thickBot="1">
      <c r="B22" s="26"/>
      <c r="C22" s="26"/>
      <c r="D22" s="26"/>
      <c r="E22" s="25"/>
      <c r="F22" s="25"/>
      <c r="G22" s="162"/>
    </row>
    <row r="23" spans="2:7" ht="27" hidden="1" thickBot="1" thickTop="1">
      <c r="B23" s="26"/>
      <c r="C23" s="453" t="s">
        <v>28</v>
      </c>
      <c r="D23" s="454"/>
      <c r="E23" s="455"/>
      <c r="F23" s="25"/>
      <c r="G23" s="162"/>
    </row>
    <row r="24" spans="2:7" ht="18" hidden="1" thickBot="1" thickTop="1">
      <c r="B24" s="450" t="s">
        <v>58</v>
      </c>
      <c r="C24" s="451"/>
      <c r="D24" s="451"/>
      <c r="E24" s="451"/>
      <c r="F24" s="451"/>
      <c r="G24" s="452"/>
    </row>
    <row r="25" spans="1:7" ht="22.5" hidden="1" thickBot="1" thickTop="1">
      <c r="A25" s="294">
        <f>D25+E25+G25</f>
        <v>0</v>
      </c>
      <c r="B25" s="19"/>
      <c r="C25" s="19"/>
      <c r="D25" s="146"/>
      <c r="E25" s="147"/>
      <c r="F25" s="19"/>
      <c r="G25" s="147"/>
    </row>
    <row r="26" spans="2:7" ht="25.5" hidden="1" thickBot="1">
      <c r="B26" s="19"/>
      <c r="C26" s="19"/>
      <c r="D26" s="19"/>
      <c r="E26" s="19"/>
      <c r="F26" s="19"/>
      <c r="G26" s="278"/>
    </row>
    <row r="27" spans="2:7" ht="27" hidden="1" thickBot="1" thickTop="1">
      <c r="B27" s="19"/>
      <c r="C27" s="453" t="s">
        <v>29</v>
      </c>
      <c r="D27" s="454"/>
      <c r="E27" s="455"/>
      <c r="F27" s="19"/>
      <c r="G27" s="161"/>
    </row>
    <row r="28" spans="2:7" ht="18" hidden="1" thickBot="1" thickTop="1">
      <c r="B28" s="450" t="s">
        <v>59</v>
      </c>
      <c r="C28" s="451"/>
      <c r="D28" s="451"/>
      <c r="E28" s="451"/>
      <c r="F28" s="451"/>
      <c r="G28" s="452"/>
    </row>
    <row r="29" spans="1:7" ht="22.5" hidden="1" thickBot="1" thickTop="1">
      <c r="A29" s="294">
        <f>D29+E29+G29</f>
        <v>0</v>
      </c>
      <c r="B29" s="19"/>
      <c r="C29" s="19"/>
      <c r="D29" s="148"/>
      <c r="E29" s="148"/>
      <c r="F29" s="139"/>
      <c r="G29" s="148"/>
    </row>
    <row r="30" spans="2:7" ht="17.25" thickBot="1">
      <c r="B30" s="25"/>
      <c r="C30" s="25"/>
      <c r="D30" s="25"/>
      <c r="E30" s="25"/>
      <c r="F30" s="24"/>
      <c r="G30" s="24"/>
    </row>
    <row r="31" spans="2:7" ht="24.75" thickBot="1" thickTop="1">
      <c r="B31" s="456" t="s">
        <v>104</v>
      </c>
      <c r="C31" s="457"/>
      <c r="D31" s="457"/>
      <c r="E31" s="458"/>
      <c r="F31" s="459"/>
      <c r="G31" s="459"/>
    </row>
    <row r="32" spans="2:7" ht="17.25" thickBot="1" thickTop="1">
      <c r="B32" s="154" t="s">
        <v>5</v>
      </c>
      <c r="C32" s="154" t="s">
        <v>8</v>
      </c>
      <c r="D32" s="155" t="s">
        <v>9</v>
      </c>
      <c r="E32" s="154" t="s">
        <v>88</v>
      </c>
      <c r="F32" s="51"/>
      <c r="G32" s="130" t="s">
        <v>5</v>
      </c>
    </row>
    <row r="33" spans="1:7" ht="16.5" thickBot="1">
      <c r="A33" s="337">
        <f>G33</f>
        <v>9720</v>
      </c>
      <c r="B33" s="60" t="s">
        <v>1</v>
      </c>
      <c r="C33" s="61">
        <f>G33</f>
        <v>9720</v>
      </c>
      <c r="D33" s="62">
        <v>0</v>
      </c>
      <c r="E33" s="63">
        <f>C33*D33</f>
        <v>0</v>
      </c>
      <c r="G33" s="55">
        <f>5*Parámetros!E32</f>
        <v>9720</v>
      </c>
    </row>
    <row r="34" spans="1:9" ht="16.5" thickBot="1">
      <c r="A34" s="338">
        <f>IF(C52&gt;=G34,I34,C52-G33)</f>
        <v>-9720</v>
      </c>
      <c r="B34" s="64" t="s">
        <v>126</v>
      </c>
      <c r="C34" s="65">
        <f>IF(A34&lt;=0,0,A34)</f>
        <v>0</v>
      </c>
      <c r="D34" s="66">
        <v>0.14</v>
      </c>
      <c r="E34" s="67">
        <f>C34*D34</f>
        <v>0</v>
      </c>
      <c r="G34" s="56">
        <f>Parámetros!E32*20</f>
        <v>38880</v>
      </c>
      <c r="I34" s="85">
        <f>G34-G33</f>
        <v>29160</v>
      </c>
    </row>
    <row r="35" spans="1:9" ht="16.5" thickBot="1">
      <c r="A35" s="338">
        <f>IF(C52&gt;G34,C52-G34,0)</f>
        <v>0</v>
      </c>
      <c r="B35" s="68" t="s">
        <v>127</v>
      </c>
      <c r="C35" s="69">
        <f>IF(A35&lt;=0,0,A35)</f>
        <v>0</v>
      </c>
      <c r="D35" s="70">
        <v>0.24</v>
      </c>
      <c r="E35" s="71">
        <f>C35*D35</f>
        <v>0</v>
      </c>
      <c r="G35" s="304"/>
      <c r="H35" s="166"/>
      <c r="I35" s="185"/>
    </row>
    <row r="36" spans="3:7" ht="21.75" thickBot="1" thickTop="1">
      <c r="C36" s="442" t="s">
        <v>104</v>
      </c>
      <c r="D36" s="443"/>
      <c r="E36" s="281">
        <f>SUM(E34:E35)</f>
        <v>0</v>
      </c>
      <c r="F36" s="444"/>
      <c r="G36" s="444"/>
    </row>
    <row r="37" spans="1:7" ht="17.25" thickBot="1" thickTop="1">
      <c r="A37" s="339"/>
      <c r="B37" s="340"/>
      <c r="C37" s="341"/>
      <c r="D37" s="342"/>
      <c r="E37" s="343"/>
      <c r="F37" s="339"/>
      <c r="G37" s="344"/>
    </row>
    <row r="38" spans="1:7" ht="15.75" hidden="1">
      <c r="A38" s="339"/>
      <c r="B38" s="340"/>
      <c r="C38" s="341"/>
      <c r="D38" s="342"/>
      <c r="E38" s="343"/>
      <c r="F38" s="339"/>
      <c r="G38" s="339"/>
    </row>
    <row r="39" spans="1:7" ht="21.75" hidden="1">
      <c r="A39" s="339"/>
      <c r="B39" s="339"/>
      <c r="C39" s="490"/>
      <c r="D39" s="490"/>
      <c r="E39" s="284"/>
      <c r="F39" s="444"/>
      <c r="G39" s="444"/>
    </row>
    <row r="40" spans="3:7" ht="22.5" hidden="1" thickBot="1">
      <c r="C40" s="283"/>
      <c r="D40" s="283"/>
      <c r="E40" s="284"/>
      <c r="F40" s="282"/>
      <c r="G40" s="282"/>
    </row>
    <row r="41" spans="2:7" ht="33.75" thickBot="1">
      <c r="B41" s="445" t="s">
        <v>107</v>
      </c>
      <c r="C41" s="446"/>
      <c r="D41" s="446"/>
      <c r="E41" s="447"/>
      <c r="F41" s="448">
        <f>C51</f>
        <v>0</v>
      </c>
      <c r="G41" s="449"/>
    </row>
    <row r="42" spans="2:7" ht="22.5" hidden="1" thickBot="1">
      <c r="B42" s="285"/>
      <c r="C42" s="286" t="s">
        <v>108</v>
      </c>
      <c r="D42" s="286"/>
      <c r="E42" s="287"/>
      <c r="F42" s="288"/>
      <c r="G42" s="288"/>
    </row>
    <row r="43" spans="3:7" ht="22.5" hidden="1" thickBot="1">
      <c r="C43" s="283"/>
      <c r="D43" s="283"/>
      <c r="E43" s="284"/>
      <c r="F43" s="282"/>
      <c r="G43" s="282"/>
    </row>
    <row r="44" spans="2:7" ht="39" thickBot="1" thickTop="1">
      <c r="B44" s="289" t="s">
        <v>104</v>
      </c>
      <c r="C44" s="433">
        <f>IF(E39-C119&lt;0,0,E39-C119)</f>
        <v>0</v>
      </c>
      <c r="D44" s="434"/>
      <c r="E44" s="290" t="s">
        <v>109</v>
      </c>
      <c r="F44" s="435">
        <f>C50</f>
        <v>0</v>
      </c>
      <c r="G44" s="436"/>
    </row>
    <row r="45" spans="6:7" ht="19.5" hidden="1" thickBot="1" thickTop="1">
      <c r="F45" s="27"/>
      <c r="G45" s="22"/>
    </row>
    <row r="46" spans="2:7" ht="42.75" hidden="1" thickBot="1" thickTop="1">
      <c r="B46" s="437" t="s">
        <v>30</v>
      </c>
      <c r="C46" s="438"/>
      <c r="D46" s="438"/>
      <c r="E46" s="439"/>
      <c r="F46" s="440" t="e">
        <f>E44-C55</f>
        <v>#VALUE!</v>
      </c>
      <c r="G46" s="441"/>
    </row>
    <row r="47" spans="3:7" ht="14.25" hidden="1" thickBot="1" thickTop="1">
      <c r="C47" s="1"/>
      <c r="G47" s="3"/>
    </row>
    <row r="48" spans="2:3" ht="16.5" hidden="1" thickBot="1">
      <c r="B48" s="41" t="s">
        <v>37</v>
      </c>
      <c r="C48" s="42">
        <f>IF(A12&gt;0,A12*0.125%,0)</f>
        <v>0</v>
      </c>
    </row>
    <row r="49" spans="2:6" ht="16.5" hidden="1" thickBot="1">
      <c r="B49" s="38" t="s">
        <v>120</v>
      </c>
      <c r="C49" s="40">
        <f>IF(A9&lt;=0,A12,A12+A9)</f>
        <v>0</v>
      </c>
      <c r="E49" s="428" t="s">
        <v>7</v>
      </c>
      <c r="F49" s="429"/>
    </row>
    <row r="50" spans="2:7" ht="16.5" hidden="1" thickBot="1">
      <c r="B50" s="39" t="s">
        <v>109</v>
      </c>
      <c r="C50" s="43">
        <f>IF(C49&lt;=G55,C49*3%,IF(G6&gt;0,C49*6%,C49*4.5%))</f>
        <v>0</v>
      </c>
      <c r="D50" s="172" t="s">
        <v>62</v>
      </c>
      <c r="E50" s="6">
        <v>0</v>
      </c>
      <c r="F50" s="20">
        <f>3*F55</f>
        <v>5832</v>
      </c>
      <c r="G50" s="168">
        <f>(F50+2)*1.02</f>
        <v>5950.68</v>
      </c>
    </row>
    <row r="51" spans="2:7" ht="16.5" hidden="1" thickBot="1">
      <c r="B51" s="96" t="s">
        <v>0</v>
      </c>
      <c r="C51" s="97">
        <f>E94</f>
        <v>0</v>
      </c>
      <c r="D51" s="42">
        <f>C51+C50+C48</f>
        <v>0</v>
      </c>
      <c r="E51" s="7">
        <v>0.02</v>
      </c>
      <c r="F51" s="21">
        <f>6*F55</f>
        <v>11664</v>
      </c>
      <c r="G51" s="168">
        <f>(F51+35)*1.06</f>
        <v>12400.94</v>
      </c>
    </row>
    <row r="52" spans="2:7" ht="16.5" hidden="1" thickBot="1">
      <c r="B52" s="90" t="s">
        <v>121</v>
      </c>
      <c r="C52" s="91">
        <f>G4</f>
        <v>0</v>
      </c>
      <c r="E52" s="8">
        <v>0.06</v>
      </c>
      <c r="F52" s="171">
        <f>(F55*6)+1</f>
        <v>11665</v>
      </c>
      <c r="G52" s="168">
        <f>(F51+4)*1.02</f>
        <v>11901.36</v>
      </c>
    </row>
    <row r="53" spans="2:7" ht="16.5" hidden="1" thickBot="1">
      <c r="B53" s="92" t="s">
        <v>41</v>
      </c>
      <c r="C53" s="93">
        <f>A25</f>
        <v>0</v>
      </c>
      <c r="E53" s="169"/>
      <c r="F53" s="170"/>
      <c r="G53" s="1"/>
    </row>
    <row r="54" spans="2:7" ht="16.5" hidden="1" thickBot="1">
      <c r="B54" s="94" t="s">
        <v>42</v>
      </c>
      <c r="C54" s="95">
        <f>A29</f>
        <v>0</v>
      </c>
      <c r="D54" s="291">
        <f>C53+C54</f>
        <v>0</v>
      </c>
      <c r="F54" s="2"/>
      <c r="G54" s="291" t="s">
        <v>110</v>
      </c>
    </row>
    <row r="55" spans="2:7" ht="21" hidden="1" thickBot="1">
      <c r="B55" s="98" t="s">
        <v>36</v>
      </c>
      <c r="C55" s="99" t="e">
        <f>#REF!+F44</f>
        <v>#REF!</v>
      </c>
      <c r="E55" s="35" t="s">
        <v>4</v>
      </c>
      <c r="F55" s="89">
        <f>Parámetros!E32</f>
        <v>1944</v>
      </c>
      <c r="G55" s="292">
        <f>2.5*F55</f>
        <v>4860</v>
      </c>
    </row>
    <row r="56" spans="2:3" ht="18.75" hidden="1" thickBot="1">
      <c r="B56" s="158" t="s">
        <v>54</v>
      </c>
      <c r="C56" s="159">
        <f>C48+C50+C51</f>
        <v>0</v>
      </c>
    </row>
    <row r="57" ht="13.5" hidden="1" thickBot="1"/>
    <row r="58" spans="2:5" ht="18.75" hidden="1" thickBot="1">
      <c r="B58" s="374" t="s">
        <v>12</v>
      </c>
      <c r="C58" s="375"/>
      <c r="D58" s="375"/>
      <c r="E58" s="376"/>
    </row>
    <row r="59" spans="2:7" ht="15.75" hidden="1" thickBot="1">
      <c r="B59" s="10" t="s">
        <v>5</v>
      </c>
      <c r="C59" s="9" t="s">
        <v>8</v>
      </c>
      <c r="D59" s="10" t="s">
        <v>9</v>
      </c>
      <c r="E59" s="10" t="s">
        <v>88</v>
      </c>
      <c r="G59" s="165"/>
    </row>
    <row r="60" spans="1:7" ht="12.75" hidden="1">
      <c r="A60">
        <f>G60</f>
        <v>15552</v>
      </c>
      <c r="B60" s="28" t="s">
        <v>111</v>
      </c>
      <c r="C60" s="13">
        <f>'[1]DEDUCCIONES'!D29*5</f>
        <v>0</v>
      </c>
      <c r="D60" s="4">
        <v>0</v>
      </c>
      <c r="E60" s="16">
        <f>C60*D60</f>
        <v>0</v>
      </c>
      <c r="G60" s="298">
        <f>8*Parámetros!E32</f>
        <v>15552</v>
      </c>
    </row>
    <row r="61" spans="1:7" ht="12.75" hidden="1">
      <c r="A61">
        <f>IF(D54&gt;=G61,G60,D54-G60)</f>
        <v>-15552</v>
      </c>
      <c r="B61" s="29" t="s">
        <v>112</v>
      </c>
      <c r="C61" s="14">
        <f>IF(A36&lt;=0,0,A36)</f>
        <v>0</v>
      </c>
      <c r="D61" s="5">
        <v>0.1</v>
      </c>
      <c r="E61" s="17">
        <f>C61*D61</f>
        <v>0</v>
      </c>
      <c r="G61" s="299">
        <f>15*Parámetros!E32</f>
        <v>29160</v>
      </c>
    </row>
    <row r="62" spans="1:7" ht="13.5" hidden="1" thickBot="1">
      <c r="A62">
        <f>IF(D54&gt;=G62,G60,D54-G61)</f>
        <v>-29160</v>
      </c>
      <c r="B62" s="29" t="s">
        <v>16</v>
      </c>
      <c r="C62" s="15">
        <f>IF(A37&lt;=0,0,A37)</f>
        <v>0</v>
      </c>
      <c r="D62" s="5">
        <v>0.15</v>
      </c>
      <c r="E62" s="17">
        <f>C62*D62</f>
        <v>0</v>
      </c>
      <c r="G62" s="300">
        <f>50*Parámetros!E32</f>
        <v>97200</v>
      </c>
    </row>
    <row r="63" spans="1:7" ht="13.5" hidden="1" thickBot="1">
      <c r="A63">
        <f>IF(D54&gt;G62,D54-G62,0)</f>
        <v>0</v>
      </c>
      <c r="B63" s="30" t="s">
        <v>17</v>
      </c>
      <c r="C63" s="31">
        <f>IF(A38&lt;=0,0,A38)</f>
        <v>0</v>
      </c>
      <c r="D63" s="32">
        <v>0.25</v>
      </c>
      <c r="E63" s="33">
        <f>C63*D63</f>
        <v>0</v>
      </c>
      <c r="G63" s="166"/>
    </row>
    <row r="64" spans="3:7" ht="18.75" hidden="1" thickBot="1">
      <c r="C64" s="374" t="s">
        <v>6</v>
      </c>
      <c r="D64" s="376"/>
      <c r="E64" s="18">
        <f>SUM(E61:E62)</f>
        <v>0</v>
      </c>
      <c r="G64" s="166"/>
    </row>
    <row r="65" spans="1:7" ht="12.75" hidden="1">
      <c r="A65" s="295"/>
      <c r="B65" s="295"/>
      <c r="C65" s="27"/>
      <c r="D65" s="27"/>
      <c r="E65" s="296"/>
      <c r="F65" s="295"/>
      <c r="G65" s="297"/>
    </row>
    <row r="66" spans="1:7" ht="12.75" hidden="1">
      <c r="A66" s="295"/>
      <c r="B66" s="295"/>
      <c r="C66" s="27"/>
      <c r="D66" s="27"/>
      <c r="E66" s="296"/>
      <c r="F66" s="295"/>
      <c r="G66" s="297"/>
    </row>
    <row r="67" ht="12.75" hidden="1">
      <c r="G67" s="27"/>
    </row>
    <row r="68" ht="12.75" hidden="1">
      <c r="G68" s="27"/>
    </row>
    <row r="69" ht="13.5" hidden="1" thickBot="1">
      <c r="G69" s="166"/>
    </row>
    <row r="70" spans="2:7" ht="16.5" hidden="1" thickBot="1">
      <c r="B70" s="135" t="s">
        <v>44</v>
      </c>
      <c r="C70" s="136"/>
      <c r="D70" s="137"/>
      <c r="G70" s="167"/>
    </row>
    <row r="71" ht="13.5" hidden="1" thickBot="1">
      <c r="C71" s="132"/>
    </row>
    <row r="72" spans="3:7" ht="13.5" hidden="1" thickBot="1">
      <c r="C72" s="264">
        <f>IF(B12&gt;G51,B12*6%,(IF(B12&lt;=F50,0,IF(AND(B12&gt;F50,B12&lt;=G50),B12*2%-(F50-(B12-(B12*2%))),IF(AND(B12&gt;F51,B12&lt;=G51),B12*6%-(I51-(B12-(B12*6%))),B12*2%)))))</f>
        <v>0</v>
      </c>
      <c r="E72" s="133" t="s">
        <v>46</v>
      </c>
      <c r="G72" s="164"/>
    </row>
    <row r="73" spans="3:7" ht="16.5" hidden="1" thickBot="1">
      <c r="C73" s="264">
        <f>IF(C12&gt;G51,C12*6%,(IF(C12&lt;=F50,0,IF(AND(C12&gt;F50,C12&lt;=G50),C12*2%-(F50-(C12-(C12*2%))),IF(AND(C12&gt;F51,C12&lt;=G51),C12*6%-(I51-(C12-(C12*6%))),C12*2%)))))</f>
        <v>0</v>
      </c>
      <c r="E73" s="93">
        <f>IF(G25&gt;G52,G25*2%,(IF(G25&lt;=F51,0,G25-F51)))+IF(E25&gt;G52,E25*2%,(IF(E25&lt;=F51,0,E25-F51)))+IF(D25&gt;G52,D25*2%,(IF(D25&lt;=F51,0,D25-F51)))</f>
        <v>0</v>
      </c>
      <c r="G73" s="164"/>
    </row>
    <row r="74" spans="3:7" ht="13.5" hidden="1" thickBot="1">
      <c r="C74" s="264">
        <f>IF(D12&gt;G51,D12*6%,(IF(D12&lt;=F50,0,IF(AND(D12&gt;F50,D12&lt;=G50),D12*2%-(F50-(D12-(D12*2%))),IF(AND(D12&gt;F51,D12&lt;=G51),D12*6%-(I51-(D12-(D12*6%))),D12*2%)))))</f>
        <v>0</v>
      </c>
      <c r="G74" s="164"/>
    </row>
    <row r="75" spans="3:5" ht="13.5" hidden="1" thickBot="1">
      <c r="C75" s="264">
        <f>IF(E12&gt;G51,E12*6%,(IF(E12&lt;=F50,0,IF(AND(E12&gt;F50,E12&lt;=G50),E12*2%-(F50-(E12-(E12*2%))),IF(AND(E12&gt;F51,E12&lt;=G51),E12*6%-(I51-(E12-(E12*6%))),E12*2%)))))</f>
        <v>0</v>
      </c>
      <c r="E75" s="134" t="s">
        <v>47</v>
      </c>
    </row>
    <row r="76" spans="3:7" ht="16.5" hidden="1" thickBot="1">
      <c r="C76" s="264">
        <f>IF(F12&gt;G51,F12*6%,(IF(F12&lt;=F50,0,IF(AND(F12&gt;F50,F12&lt;=G50),F12*2%-(F50-(F12-(F12*2%))),IF(AND(F12&gt;F51,F12&lt;=G51),F12*6%-(I51-(F12-(F12*6%))),F12*2%)))))</f>
        <v>0</v>
      </c>
      <c r="E76" s="270">
        <f>IF(G29&gt;G52,G29*2%,(IF(G29&lt;=F51,0,G29-F51)))+IF(E29&gt;G52,E29*2%,(IF(E29&lt;=F51,0,E29-F51)))+IF(D29&gt;G52,D29*2%,(IF(D29&lt;=F51,0,D29-F51)))</f>
        <v>0</v>
      </c>
      <c r="G76" s="164"/>
    </row>
    <row r="77" ht="13.5" hidden="1" thickBot="1">
      <c r="C77" s="264">
        <f>IF(G12&gt;G51,G12*6%,(IF(G12&lt;=F50,0,IF(AND(G12&gt;F50,G12&lt;=G50),G12*2%-(F50-(G12-(G12*2%))),IF(AND(G12&gt;F51,G12&lt;=G51),G12*6%-(I51-(G12-(G12*6%))),G12*2%)))))</f>
        <v>0</v>
      </c>
    </row>
    <row r="78" spans="2:3" ht="18.75" hidden="1" thickBot="1">
      <c r="B78" s="138" t="s">
        <v>45</v>
      </c>
      <c r="C78" s="265">
        <f>SUM(C72:C77)</f>
        <v>0</v>
      </c>
    </row>
    <row r="79" ht="13.5" hidden="1" thickBot="1"/>
    <row r="80" spans="2:4" ht="16.5" hidden="1" thickBot="1">
      <c r="B80" s="430" t="s">
        <v>48</v>
      </c>
      <c r="C80" s="431"/>
      <c r="D80" s="432"/>
    </row>
    <row r="81" ht="12.75" hidden="1">
      <c r="C81" s="266">
        <f>IF(G9&gt;G51,G9*6%,(IF(G9&lt;=F50,0,IF(AND(G9&gt;F50,G9&lt;=G50),G9*2%-(F50-(G9-(G9*2%))),IF(AND(G9&gt;F51,G9&lt;=G51),G9*6%-(I51-(G9-(G9*6%))),G9*2%)))))</f>
        <v>0</v>
      </c>
    </row>
    <row r="82" ht="12.75" hidden="1">
      <c r="C82" s="267">
        <f>IF(E9&gt;G51,E9*6%,(IF(E9&lt;=F50,0,IF(AND(E9&gt;F50,E9&lt;=G50),E9*2%-(F50-(E9-(E9*2%))),IF(AND(E9&gt;F51,E9&lt;=G51),E9*6%-(I51-(E9-(E9*6%))),E9*2%)))))</f>
        <v>0</v>
      </c>
    </row>
    <row r="83" ht="13.5" hidden="1" thickBot="1">
      <c r="C83" s="268">
        <f>IF(D9&gt;G51,D9*6%,(IF(D9&lt;=F50,0,IF(AND(D9&gt;F50,D9&lt;=G50),D9*2%-(F50-(D9-(D9*2%))),IF(AND(D9&gt;F51,D9&lt;=G51),D9*6%-(I51-(D9-(D9*6%))),D9*2%)))))</f>
        <v>0</v>
      </c>
    </row>
    <row r="84" spans="2:3" ht="18.75" hidden="1" thickBot="1">
      <c r="B84" s="143" t="s">
        <v>45</v>
      </c>
      <c r="C84" s="269">
        <f>SUM(C81:C83)</f>
        <v>0</v>
      </c>
    </row>
    <row r="85" ht="12.75" hidden="1"/>
    <row r="86" ht="12.75" hidden="1"/>
    <row r="87" ht="12.75" hidden="1"/>
    <row r="88" ht="13.5" hidden="1" thickBot="1"/>
    <row r="89" spans="3:5" ht="13.5" hidden="1" thickBot="1">
      <c r="C89" s="418" t="s">
        <v>49</v>
      </c>
      <c r="D89" s="419"/>
      <c r="E89" s="86">
        <f>Parámetros!E57</f>
        <v>59414</v>
      </c>
    </row>
    <row r="90" ht="13.5" hidden="1" thickBot="1"/>
    <row r="91" spans="4:5" ht="16.5" hidden="1" thickBot="1">
      <c r="D91" s="85" t="s">
        <v>50</v>
      </c>
      <c r="E91" s="156">
        <f>C49*15%</f>
        <v>0</v>
      </c>
    </row>
    <row r="92" spans="4:5" ht="16.5" hidden="1" thickBot="1">
      <c r="D92" s="85" t="s">
        <v>51</v>
      </c>
      <c r="E92" s="156">
        <f>IF(C49&lt;=E89,C49*15%,E89*15%)</f>
        <v>0</v>
      </c>
    </row>
    <row r="93" ht="13.5" hidden="1" thickBot="1">
      <c r="E93" s="1"/>
    </row>
    <row r="94" spans="4:5" ht="18.75" hidden="1" thickBot="1">
      <c r="D94" s="85" t="s">
        <v>53</v>
      </c>
      <c r="E94" s="157">
        <f>IF(G7=1,E92,E91)</f>
        <v>0</v>
      </c>
    </row>
    <row r="95" ht="13.5" hidden="1" thickBot="1"/>
    <row r="96" spans="2:7" ht="27.75" hidden="1" thickBot="1" thickTop="1">
      <c r="B96" s="420" t="s">
        <v>22</v>
      </c>
      <c r="C96" s="421"/>
      <c r="D96" s="421"/>
      <c r="E96" s="421"/>
      <c r="F96" s="421"/>
      <c r="G96" s="184">
        <f>C119</f>
        <v>0</v>
      </c>
    </row>
    <row r="97" ht="13.5" hidden="1" thickBot="1"/>
    <row r="98" spans="2:4" ht="21" hidden="1" thickBot="1">
      <c r="B98" s="397" t="s">
        <v>11</v>
      </c>
      <c r="C98" s="398"/>
      <c r="D98" s="399"/>
    </row>
    <row r="99" spans="2:5" ht="18.75" hidden="1" thickBot="1">
      <c r="B99" s="422" t="s">
        <v>64</v>
      </c>
      <c r="C99" s="423"/>
      <c r="D99" s="424"/>
      <c r="E99" s="215">
        <f>Parámetros!E4</f>
        <v>2106</v>
      </c>
    </row>
    <row r="100" ht="13.5" hidden="1" thickBot="1"/>
    <row r="101" spans="2:4" ht="21" hidden="1" thickBot="1">
      <c r="B101" s="403" t="s">
        <v>11</v>
      </c>
      <c r="C101" s="404"/>
      <c r="D101" s="405"/>
    </row>
    <row r="102" spans="2:5" ht="18.75" hidden="1" thickBot="1">
      <c r="B102" s="425" t="s">
        <v>114</v>
      </c>
      <c r="C102" s="426"/>
      <c r="D102" s="427"/>
      <c r="E102" s="126">
        <f>Parámetros!E9</f>
        <v>4212</v>
      </c>
    </row>
    <row r="103" ht="13.5" hidden="1" thickBot="1"/>
    <row r="104" spans="1:7" ht="16.5" hidden="1" thickBot="1">
      <c r="A104" s="382" t="s">
        <v>23</v>
      </c>
      <c r="B104" s="396"/>
      <c r="C104" s="383"/>
      <c r="E104" s="382" t="s">
        <v>25</v>
      </c>
      <c r="F104" s="396"/>
      <c r="G104" s="383"/>
    </row>
    <row r="105" spans="2:6" ht="18.75" hidden="1" thickBot="1">
      <c r="B105" s="46">
        <f>IF(G5=0,0,(E94+C50+C48+(C20/12)+(F20/12)+C21+F21+(G14*E99)+(G16*E102)))</f>
        <v>0</v>
      </c>
      <c r="E105" s="84">
        <f>IF(A25&gt;E128,A25*1%,A25*3%)</f>
        <v>0</v>
      </c>
      <c r="F105" s="49">
        <f>IF(A25&lt;=0,0,IF(AND(A29&lt;=0,B105&lt;=0),F108,IF(AND(A29&lt;=0,E105&gt;0),E102+E105,F108)))</f>
        <v>0</v>
      </c>
    </row>
    <row r="106" spans="2:6" ht="18.75" hidden="1" thickBot="1">
      <c r="B106" s="87"/>
      <c r="E106" s="88"/>
      <c r="F106" s="49"/>
    </row>
    <row r="107" ht="13.5" hidden="1" thickBot="1"/>
    <row r="108" spans="1:6" ht="16.5" hidden="1" thickBot="1">
      <c r="A108" s="83"/>
      <c r="C108" s="382" t="s">
        <v>26</v>
      </c>
      <c r="D108" s="383"/>
      <c r="E108" s="85">
        <f>IF(G5&lt;=0,(C20/12)+(F20/12)+C21+F21+G14*E99+G16*E102,0)</f>
        <v>0</v>
      </c>
      <c r="F108" s="86">
        <f>E108+E105+E102</f>
        <v>4212</v>
      </c>
    </row>
    <row r="109" spans="3:4" ht="21" hidden="1" thickBot="1">
      <c r="C109" s="384">
        <f>IF(A29&lt;=0,0,IF(AND(A25&lt;=0,B105&lt;=0),F108,IF(AND(A25&lt;=0,B105&gt;0),F108,0)))</f>
        <v>0</v>
      </c>
      <c r="D109" s="385"/>
    </row>
    <row r="110" spans="3:4" ht="21" hidden="1" thickBot="1">
      <c r="C110" s="36"/>
      <c r="D110" s="36"/>
    </row>
    <row r="111" spans="2:5" ht="24" hidden="1" thickBot="1">
      <c r="B111" s="388" t="s">
        <v>35</v>
      </c>
      <c r="C111" s="389"/>
      <c r="D111" s="390"/>
      <c r="E111" s="47">
        <f>B105</f>
        <v>0</v>
      </c>
    </row>
    <row r="112" ht="13.5" hidden="1" thickBot="1"/>
    <row r="113" spans="2:7" ht="13.5" hidden="1" thickBot="1">
      <c r="B113" s="41" t="s">
        <v>5</v>
      </c>
      <c r="C113" s="52" t="s">
        <v>18</v>
      </c>
      <c r="D113" s="41" t="s">
        <v>9</v>
      </c>
      <c r="E113" s="53" t="s">
        <v>88</v>
      </c>
      <c r="G113" s="54" t="s">
        <v>5</v>
      </c>
    </row>
    <row r="114" spans="1:7" ht="15" hidden="1">
      <c r="A114" s="37">
        <f>IF(E111&lt;=G114,E111,G114)</f>
        <v>0</v>
      </c>
      <c r="B114" s="100" t="s">
        <v>115</v>
      </c>
      <c r="C114" s="101">
        <f>IF(A114&lt;=0,0,A114)</f>
        <v>0</v>
      </c>
      <c r="D114" s="102">
        <v>0.1</v>
      </c>
      <c r="E114" s="103">
        <f>C114*D114</f>
        <v>0</v>
      </c>
      <c r="G114" s="122">
        <f>3*Parámetros!E32</f>
        <v>5832</v>
      </c>
    </row>
    <row r="115" spans="1:7" ht="15" hidden="1">
      <c r="A115" s="37">
        <f>IF(E111&gt;=G115,G115-G114,E111-G114)</f>
        <v>-5832</v>
      </c>
      <c r="B115" s="104" t="s">
        <v>116</v>
      </c>
      <c r="C115" s="105">
        <f>IF(A115&lt;=0,0,A115)</f>
        <v>0</v>
      </c>
      <c r="D115" s="106">
        <v>0.15</v>
      </c>
      <c r="E115" s="107">
        <f>C115*D115</f>
        <v>0</v>
      </c>
      <c r="G115" s="123">
        <f>8*Parámetros!E32</f>
        <v>15552</v>
      </c>
    </row>
    <row r="116" spans="1:7" ht="15" hidden="1">
      <c r="A116" s="37">
        <f>IF(E111&gt;=G116,G116-G115,E111-G115)</f>
        <v>-15552</v>
      </c>
      <c r="B116" s="108" t="s">
        <v>117</v>
      </c>
      <c r="C116" s="109">
        <f>IF(A116&lt;=0,0,A116)</f>
        <v>0</v>
      </c>
      <c r="D116" s="110">
        <v>0.2</v>
      </c>
      <c r="E116" s="111">
        <f>C116*D116</f>
        <v>0</v>
      </c>
      <c r="G116" s="124">
        <f>43*Parámetros!E32</f>
        <v>83592</v>
      </c>
    </row>
    <row r="117" spans="1:7" ht="15.75" hidden="1" thickBot="1">
      <c r="A117" s="37">
        <f>IF(E111&gt;=G117,G117-G116,E111-G116)</f>
        <v>-83592</v>
      </c>
      <c r="B117" s="112" t="s">
        <v>118</v>
      </c>
      <c r="C117" s="113">
        <f>IF(A117&lt;=0,0,A117)</f>
        <v>0</v>
      </c>
      <c r="D117" s="114">
        <v>0.22</v>
      </c>
      <c r="E117" s="115">
        <f>C117*D117</f>
        <v>0</v>
      </c>
      <c r="G117" s="125">
        <f>93*Parámetros!E32</f>
        <v>180792</v>
      </c>
    </row>
    <row r="118" spans="1:5" ht="15.75" hidden="1" thickBot="1">
      <c r="A118" s="37">
        <f>IF(E111&gt;G117,E111-G117,0)</f>
        <v>0</v>
      </c>
      <c r="B118" s="116" t="s">
        <v>119</v>
      </c>
      <c r="C118" s="117">
        <f>IF(A118&lt;=0,0,A118)</f>
        <v>0</v>
      </c>
      <c r="D118" s="182">
        <v>0.25</v>
      </c>
      <c r="E118" s="183">
        <f>C118*D118</f>
        <v>0</v>
      </c>
    </row>
    <row r="119" spans="2:5" ht="27" hidden="1" thickBot="1">
      <c r="B119" s="120"/>
      <c r="C119" s="411">
        <f>SUM(E114:E118)</f>
        <v>0</v>
      </c>
      <c r="D119" s="412"/>
      <c r="E119" s="413"/>
    </row>
    <row r="120" ht="12.75" hidden="1"/>
    <row r="121" ht="13.5" hidden="1" thickBot="1"/>
    <row r="122" spans="4:5" ht="24" hidden="1" thickBot="1">
      <c r="D122" s="34" t="s">
        <v>4</v>
      </c>
      <c r="E122" s="81">
        <f>Parámetros!E32</f>
        <v>1944</v>
      </c>
    </row>
    <row r="123" ht="12.75" hidden="1"/>
    <row r="124" ht="13.5" hidden="1" thickBot="1"/>
    <row r="125" spans="3:5" ht="21" hidden="1" thickBot="1">
      <c r="C125" s="391" t="s">
        <v>39</v>
      </c>
      <c r="D125" s="392"/>
      <c r="E125" s="50">
        <f>3*E122</f>
        <v>5832</v>
      </c>
    </row>
    <row r="126" spans="3:5" ht="16.5" hidden="1" thickBot="1">
      <c r="C126" s="414" t="s">
        <v>24</v>
      </c>
      <c r="D126" s="415"/>
      <c r="E126" s="45">
        <f>3*E122+1</f>
        <v>5833</v>
      </c>
    </row>
    <row r="127" ht="13.5" hidden="1" thickBot="1"/>
    <row r="128" spans="3:5" ht="21" hidden="1" thickBot="1">
      <c r="C128" s="416" t="s">
        <v>31</v>
      </c>
      <c r="D128" s="417"/>
      <c r="E128" s="82">
        <f>Parámetros!E45</f>
        <v>5519.29</v>
      </c>
    </row>
    <row r="129" ht="12.75" hidden="1"/>
    <row r="130" ht="13.5" hidden="1" thickBot="1"/>
    <row r="131" spans="3:5" ht="21.75" hidden="1" thickBot="1" thickTop="1">
      <c r="C131" s="409" t="s">
        <v>52</v>
      </c>
      <c r="D131" s="410"/>
      <c r="E131" s="181">
        <f>Parámetros!E57</f>
        <v>59414</v>
      </c>
    </row>
    <row r="132" ht="12.75" hidden="1"/>
    <row r="133" ht="12.75" hidden="1"/>
    <row r="134" ht="12.75" hidden="1"/>
    <row r="135" ht="13.5" thickTop="1"/>
  </sheetData>
  <sheetProtection password="E71E" sheet="1" objects="1" scenarios="1"/>
  <mergeCells count="47">
    <mergeCell ref="C36:D36"/>
    <mergeCell ref="F36:G36"/>
    <mergeCell ref="C125:D125"/>
    <mergeCell ref="C126:D126"/>
    <mergeCell ref="B101:D101"/>
    <mergeCell ref="B102:D102"/>
    <mergeCell ref="A104:C104"/>
    <mergeCell ref="E104:G104"/>
    <mergeCell ref="C89:D89"/>
    <mergeCell ref="B96:F96"/>
    <mergeCell ref="C128:D128"/>
    <mergeCell ref="C131:D131"/>
    <mergeCell ref="C108:D108"/>
    <mergeCell ref="C109:D109"/>
    <mergeCell ref="B111:D111"/>
    <mergeCell ref="C119:E119"/>
    <mergeCell ref="B98:D98"/>
    <mergeCell ref="B99:D99"/>
    <mergeCell ref="E49:F49"/>
    <mergeCell ref="B58:E58"/>
    <mergeCell ref="C64:D64"/>
    <mergeCell ref="B80:D80"/>
    <mergeCell ref="C44:D44"/>
    <mergeCell ref="F44:G44"/>
    <mergeCell ref="B46:E46"/>
    <mergeCell ref="F46:G46"/>
    <mergeCell ref="C39:D39"/>
    <mergeCell ref="F39:G39"/>
    <mergeCell ref="B41:E41"/>
    <mergeCell ref="F41:G41"/>
    <mergeCell ref="B24:G24"/>
    <mergeCell ref="C27:E27"/>
    <mergeCell ref="B28:G28"/>
    <mergeCell ref="B31:E31"/>
    <mergeCell ref="F31:G31"/>
    <mergeCell ref="B16:F16"/>
    <mergeCell ref="B18:F18"/>
    <mergeCell ref="B19:F19"/>
    <mergeCell ref="C23:E23"/>
    <mergeCell ref="B8:F8"/>
    <mergeCell ref="B11:F11"/>
    <mergeCell ref="B13:F13"/>
    <mergeCell ref="B14:F14"/>
    <mergeCell ref="C3:E3"/>
    <mergeCell ref="B4:F4"/>
    <mergeCell ref="B6:F6"/>
    <mergeCell ref="B7:F7"/>
  </mergeCells>
  <dataValidations count="26">
    <dataValidation type="whole" allowBlank="1" showInputMessage="1" showErrorMessage="1" errorTitle="Dato no válido" error="Solo podrás ingresar números enteros, sin decimales. Tampoco digites puntos o comas." sqref="G14:G19">
      <formula1>0</formula1>
      <formula2>1E+33</formula2>
    </dataValidation>
    <dataValidation type="whole" allowBlank="1" showInputMessage="1" showErrorMessage="1" sqref="G8">
      <formula1>0</formula1>
      <formula2>1E+33</formula2>
    </dataValidation>
    <dataValidation type="whole" allowBlank="1" showInputMessage="1" showErrorMessage="1" promptTitle="PASIVIDAD" prompt="DIGITA AQUÍ DONDE ESTAS PARADO, EL IMPORTE DE TU PASIVIDAD NOMINAL, SIN DECIMALES Y SIN AGREGAR PUNTOS O COMAS. " sqref="G26">
      <formula1>0</formula1>
      <formula2>1E+37</formula2>
    </dataValidation>
    <dataValidation type="whole" allowBlank="1" showInputMessage="1" showErrorMessage="1" promptTitle="SUELDO" prompt="DIGITÁ AQUÍ DONDE ESTAS POSICIONADO, TU SUELDO NOMINAL O BRUTO SIN RESTARLE NINGUNA PARTIDA, (VER HOJA GUIA TRABAJADOR.&#10;INGRESALO SIN DECIMALES Y SIN AGREGAR PUNTOS O COMAS." errorTitle="Dato no válido" error="Solo podrás ingresar números enteros, sin decimales. Tampoco digites puntos o comas." sqref="G5">
      <formula1>0</formula1>
      <formula2>1E+36</formula2>
    </dataValidation>
    <dataValidation allowBlank="1" showInputMessage="1" showErrorMessage="1" promptTitle="B.P.C." prompt="Ingresar el valor actual de la Base de Prestaciones y Contribuciones, decretada por el Poder Ejecutivo" sqref="F55"/>
    <dataValidation type="whole" allowBlank="1" showInputMessage="1" showErrorMessage="1" promptTitle="PENSION" prompt="DIGITAR EL IMPORTE DE TU PENSIÓN NOMINAL, SIN DECIMALES. TAMPOCO DIGITES PUNTOS O COMAS.&#10;EN CASO DE TENER MAS DE UNA PENSIÓN, INGRESAR UNA POR CELDA.&#10;VER HOJA DE GUIA PENSIÓN." errorTitle="Dato no válido." error="Solo podras ingresar números enteros, sin decimales, puntos o comas" sqref="G29">
      <formula1>0</formula1>
      <formula2>1E+37</formula2>
    </dataValidation>
    <dataValidation type="whole" allowBlank="1" showInputMessage="1" showErrorMessage="1" promptTitle="JUBILACIÓN" prompt="DIGITAR AQUÍ, EL IMPORTE DE TU JUBILACIÓN NOMINAL, SIN DECIMALES Y SIN AGREGAR PUNTOS O COMAS. &#10;EN CASO DE TENER MAS DE UNA JUBILACIÓN, INGRESAR UNA JUBILACIÓN POR CELDA.&#10;VER HOJA DE GUIA JUBILACIÓN." errorTitle="Dato no válido" error="Solo podras ingresar números enteros, sin decimales, puntos o comas." sqref="G25">
      <formula1>0</formula1>
      <formula2>1E+37</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errorTitle="Dato no válido" error="Debes ingresar un número entero, sin decimilas, ni comas ni puntos." sqref="G10">
      <formula1>0</formula1>
      <formula2>1E+33</formula2>
    </dataValidation>
    <dataValidation type="whole" allowBlank="1" showInputMessage="1" showErrorMessage="1" promptTitle="BRUTO SIN PARTIDAS NO GRAVADAS" prompt="Ingresá tu SUELDO NOMINAL restandole al mismo las partidas no gravadas por el B.P.S. Por ejemplo: TICKETS ALIMENTACIÒN, TICKETS TRANSPORTE,  SEGUNDO AGUINALDO y otros, (ver hoja GUIA TRABAJADOR, punto 3). &#10;Ingresá el monto sin decimales, puntos o comas." errorTitle="Dato no válido" error="Debes ingresar un número entero, sin decimilas, ni comas ni puntos." sqref="G12">
      <formula1>0</formula1>
      <formula2>1E+33</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VER HOJA GUIA TRABAJADOR, punto 3). Ingresalo sin decimales, puntos o comas." errorTitle="Dato no válido" error="Debes ingresar un número entero, sin decimilas, ni comas ni puntos." sqref="G9">
      <formula1>0</formula1>
      <formula2>1E+33</formula2>
    </dataValidation>
    <dataValidation type="whole" allowBlank="1" showInputMessage="1" showErrorMessage="1" promptTitle="APORTES a CAJA de PROFESIONALES " prompt="Ingresar el aporte mensual a la CAJA DE JUBILACIONES y PENSIONES DE PROFESIONALES UNIVERSITARIOS." errorTitle="Dato no válido" error="Debe ingresar un número entero." sqref="C21">
      <formula1>1</formula1>
      <formula2>1000000000000000000</formula2>
    </dataValidation>
    <dataValidation type="whole" allowBlank="1" showInputMessage="1" showErrorMessage="1" promptTitle="REINTEGROS CAJA PROFESIONAL" prompt="Ingresar el importe mensual de los REINTEGROS de CAJA DE JUBILACIONES Y PENSIONES DE PROFESIONALES UNIVERSITARIOS." errorTitle="Dato no válido" error="Ingresar un número entero, sin puntos ni comas." sqref="F21">
      <formula1>1</formula1>
      <formula2>10000000000000000000</formula2>
    </dataValidation>
    <dataValidation type="whole" allowBlank="1" showInputMessage="1" showErrorMessage="1" promptTitle="FONDO DE SOLIDARIDAD" prompt="Ingresar la cifra anual que se paga por concepto de Fondo de Solidaridad. En caso de los Técnicos de Administración es la mitad de una B.P.C." errorTitle="Dato no válido" error="Debe ingresar un número entero." sqref="C20">
      <formula1>1</formula1>
      <formula2>1000000000000000000</formula2>
    </dataValidation>
    <dataValidation type="whole" allowBlank="1" showInputMessage="1" showErrorMessage="1" promptTitle="ADICIONAL F.de SOLIDARIDAD" prompt="Ingresar el importe anual por concepto de adicional del FONDO de SOLIDARIDAD" errorTitle="Dato no válido" error="Ingresar un número entero" sqref="F20">
      <formula1>1</formula1>
      <formula2>10000000000000000000</formula2>
    </dataValidation>
    <dataValidation type="whole" allowBlank="1" showInputMessage="1" showErrorMessage="1" promptTitle="MULTIEMPLEO PUBLICO" prompt="Registrar un sueldo por empresa y por celda." errorTitle="Dato no válidoc" error="Debes ingresar un número entero, sin puntos ni comas." sqref="D9:E9">
      <formula1>0</formula1>
      <formula2>1000000000000000000</formula2>
    </dataValidation>
    <dataValidation type="whole" allowBlank="1" showInputMessage="1" showErrorMessage="1" promptTitle="MULTIEMPLEO PRIVADO" prompt="Registrar un sueldo por empresa y por celda." errorTitle="Dato no válido" error="Tienes que ingresar un número entero, sin puntos ni comas." sqref="B12:F12">
      <formula1>0</formula1>
      <formula2>1E+22</formula2>
    </dataValidation>
    <dataValidation type="whole" allowBlank="1" showInputMessage="1" showErrorMessage="1" promptTitle="MULTI-JUBILACIÓN" prompt="Registrar una jubilación por celda." errorTitle="Dato no válido" error="Ingresar un número entero, sin comas ni puntos." sqref="D25:E25">
      <formula1>0</formula1>
      <formula2>1000000000000000000</formula2>
    </dataValidation>
    <dataValidation type="whole" allowBlank="1" showInputMessage="1" showErrorMessage="1" promptTitle="MULTI-PENSIÓN" prompt="Ingresar una pensión por celda" errorTitle="Dato no válido" error="Ingresar un número entero, sin puntos ni comas." sqref="D29:E29">
      <formula1>0</formula1>
      <formula2>10000000000000000</formula2>
    </dataValidation>
    <dataValidation type="whole" allowBlank="1" showInputMessage="1" showErrorMessage="1" promptTitle="REGIMEN NUEVO O DE TRANSICIÓN" prompt="Se debe marcar 1 en caso de NUEVO REGIMEN.&#10;Se debe marcar 2 en caso de REGIMEN de TRANSICIÓN." errorTitle="Dato no válido" error="Solo se puede ingresar el valor 1 o el valor 2" sqref="G7">
      <formula1>1</formula1>
      <formula2>2</formula2>
    </dataValidation>
    <dataValidation type="whole" allowBlank="1" showInputMessage="1" showErrorMessage="1" sqref="F46:G46">
      <formula1>0</formula1>
      <formula2>10000000000000000</formula2>
    </dataValidation>
    <dataValidation type="whole" allowBlank="1" showInputMessage="1" showErrorMessage="1" sqref="G27">
      <formula1>0</formula1>
      <formula2>1E+37</formula2>
    </dataValidation>
    <dataValidation type="whole" allowBlank="1" showInputMessage="1" showErrorMessage="1" promptTitle="SUELDO NOMINAL" prompt="DEBE INGRESAR EL SUELDO NOMINAL SIN RESTAR NINGUNA PARTIDA. (VER GUIA TRABAJADOR)" errorTitle="Dato no válido" error="Debe ingresar un número entero, sin comas ni puntos." sqref="G4">
      <formula1>0</formula1>
      <formula2>1E+23</formula2>
    </dataValidation>
    <dataValidation type="whole" allowBlank="1" showInputMessage="1" showErrorMessage="1" promptTitle="HIJOS MENORES DE 18 AÑOS" prompt="DIGITÁ AQUÍ DONDE ESTAS POSICIONADO, 1 SI TENES HIJOS MENORES DE 18 AÑOS O DISCAPACITADOS DE CUALQUIER EDAD A TU CARGO. DE LO CONTRARIO DIGITAR 0." errorTitle="Dato no válido" error="Solo podrás ingresar 1 o 0." sqref="G6">
      <formula1>0</formula1>
      <formula2>1</formula2>
    </dataValidation>
    <dataValidation type="whole" allowBlank="1" showInputMessage="1" showErrorMessage="1" promptTitle="B.P.C." prompt="Ingresar el valor de la BASE de PRESTACIONES y CONTRIBUCIONES. Ingresar el valor vigente, decretado por el Poder Ejecutivo. Varía en cada ocación de aumento de salarios a los funcionarios públicos." errorTitle="Dato no válido" error="Ingresar una cifra entera, sin decimales ni puntos ni comas." sqref="E122">
      <formula1>0</formula1>
      <formula2>1000000000000</formula2>
    </dataValidation>
    <dataValidation type="decimal" allowBlank="1" showInputMessage="1" showErrorMessage="1" promptTitle="TOPE CUOTA MUTUAL" prompt="Ingresar en esta celda el valor establecido por el Poder Ejecutivo, que hace de tope para poseer el derecho a la cuota mutual, para aquellas personas que se jubilaron como empleados en su última actividad laboral." errorTitle="Dato no válido" error="Debe ingresar un número con hasta dos decimales." sqref="E128">
      <formula1>0</formula1>
      <formula2>10000000000000</formula2>
    </dataValidation>
    <dataValidation allowBlank="1" showInputMessage="1" showErrorMessage="1" promptTitle="TOPE TERCER NIVEL, LEY 16713" prompt="Establecer el valor que fija el Poder Ejecutivo, como tope del aporte personal jubilatorio, para aquellas personas que están dentro del nuevo régimen, (solidaridad intergeneracional y AFAP)" sqref="E131"/>
  </dataValidations>
  <printOptions/>
  <pageMargins left="0.75" right="0.75" top="1" bottom="1" header="0" footer="0"/>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3:G131"/>
  <sheetViews>
    <sheetView workbookViewId="0" topLeftCell="B3">
      <selection activeCell="J20" sqref="J20"/>
    </sheetView>
  </sheetViews>
  <sheetFormatPr defaultColWidth="11.421875" defaultRowHeight="12.75"/>
  <cols>
    <col min="1" max="1" width="16.8515625" style="0" hidden="1" customWidth="1"/>
    <col min="2" max="2" width="18.140625" style="0" customWidth="1"/>
    <col min="3" max="3" width="15.57421875" style="0" customWidth="1"/>
    <col min="4" max="4" width="17.421875" style="0" customWidth="1"/>
    <col min="5" max="5" width="19.57421875" style="0" customWidth="1"/>
    <col min="6" max="6" width="13.00390625" style="0" customWidth="1"/>
    <col min="7" max="7" width="18.8515625" style="0" customWidth="1"/>
  </cols>
  <sheetData>
    <row r="1" ht="12.75" hidden="1"/>
    <row r="2" ht="13.5" hidden="1" thickBot="1"/>
    <row r="3" spans="3:5" ht="27" thickBot="1" thickTop="1">
      <c r="C3" s="478" t="s">
        <v>27</v>
      </c>
      <c r="D3" s="479"/>
      <c r="E3" s="480"/>
    </row>
    <row r="4" spans="2:7" ht="21.75" thickBot="1" thickTop="1">
      <c r="B4" s="481" t="s">
        <v>33</v>
      </c>
      <c r="C4" s="482"/>
      <c r="D4" s="482"/>
      <c r="E4" s="482"/>
      <c r="F4" s="483"/>
      <c r="G4" s="273"/>
    </row>
    <row r="5" spans="2:7" ht="24" hidden="1" thickBot="1" thickTop="1">
      <c r="B5" s="11"/>
      <c r="C5" s="11"/>
      <c r="D5" s="11"/>
      <c r="E5" s="23"/>
      <c r="F5" s="11"/>
      <c r="G5" s="274"/>
    </row>
    <row r="6" spans="2:7" ht="30" customHeight="1" thickBot="1" thickTop="1">
      <c r="B6" s="484" t="s">
        <v>102</v>
      </c>
      <c r="C6" s="485"/>
      <c r="D6" s="485"/>
      <c r="E6" s="485"/>
      <c r="F6" s="486"/>
      <c r="G6" s="275"/>
    </row>
    <row r="7" spans="2:7" ht="30" customHeight="1" thickBot="1">
      <c r="B7" s="487" t="s">
        <v>103</v>
      </c>
      <c r="C7" s="488"/>
      <c r="D7" s="488"/>
      <c r="E7" s="488"/>
      <c r="F7" s="489"/>
      <c r="G7" s="276"/>
    </row>
    <row r="8" spans="2:7" ht="30" customHeight="1" thickBot="1" thickTop="1">
      <c r="B8" s="466" t="s">
        <v>57</v>
      </c>
      <c r="C8" s="467"/>
      <c r="D8" s="467"/>
      <c r="E8" s="467"/>
      <c r="F8" s="468"/>
      <c r="G8" s="162"/>
    </row>
    <row r="9" spans="1:7" ht="21.75" thickBot="1" thickTop="1">
      <c r="A9" s="293">
        <f>D9+E9+G9</f>
        <v>0</v>
      </c>
      <c r="B9" s="48"/>
      <c r="C9" s="48"/>
      <c r="D9" s="151"/>
      <c r="E9" s="152"/>
      <c r="F9" s="48"/>
      <c r="G9" s="153"/>
    </row>
    <row r="10" spans="2:7" ht="21.75" hidden="1" thickBot="1">
      <c r="B10" s="144"/>
      <c r="C10" s="48"/>
      <c r="D10" s="48"/>
      <c r="E10" s="48"/>
      <c r="F10" s="48"/>
      <c r="G10" s="12"/>
    </row>
    <row r="11" spans="2:7" ht="30" customHeight="1" thickBot="1" thickTop="1">
      <c r="B11" s="469" t="s">
        <v>63</v>
      </c>
      <c r="C11" s="470"/>
      <c r="D11" s="470"/>
      <c r="E11" s="470"/>
      <c r="F11" s="471"/>
      <c r="G11" s="162"/>
    </row>
    <row r="12" spans="1:7" ht="21.75" thickBot="1" thickTop="1">
      <c r="A12" s="293">
        <f>B12+C12+D12+E12+F12+G12</f>
        <v>0</v>
      </c>
      <c r="B12" s="141"/>
      <c r="C12" s="140"/>
      <c r="D12" s="141"/>
      <c r="E12" s="140"/>
      <c r="F12" s="142"/>
      <c r="G12" s="131"/>
    </row>
    <row r="13" spans="2:7" ht="26.25" thickBot="1">
      <c r="B13" s="472" t="s">
        <v>27</v>
      </c>
      <c r="C13" s="473"/>
      <c r="D13" s="473"/>
      <c r="E13" s="473"/>
      <c r="F13" s="474"/>
      <c r="G13" s="162"/>
    </row>
    <row r="14" spans="2:7" ht="21.75" thickBot="1" thickTop="1">
      <c r="B14" s="475" t="s">
        <v>60</v>
      </c>
      <c r="C14" s="476"/>
      <c r="D14" s="476"/>
      <c r="E14" s="476"/>
      <c r="F14" s="477"/>
      <c r="G14" s="127"/>
    </row>
    <row r="15" spans="2:7" ht="21.75" hidden="1" thickBot="1" thickTop="1">
      <c r="B15" s="145"/>
      <c r="C15" s="277"/>
      <c r="D15" s="277"/>
      <c r="E15" s="277"/>
      <c r="F15" s="277"/>
      <c r="G15" s="128"/>
    </row>
    <row r="16" spans="2:7" ht="30" customHeight="1" thickBot="1" thickTop="1">
      <c r="B16" s="460" t="s">
        <v>61</v>
      </c>
      <c r="C16" s="461"/>
      <c r="D16" s="461"/>
      <c r="E16" s="461"/>
      <c r="F16" s="462"/>
      <c r="G16" s="173"/>
    </row>
    <row r="17" spans="2:7" ht="21.75" hidden="1" thickBot="1" thickTop="1">
      <c r="B17" s="150"/>
      <c r="C17" s="150"/>
      <c r="D17" s="150"/>
      <c r="E17" s="150"/>
      <c r="F17" s="150"/>
      <c r="G17" s="129"/>
    </row>
    <row r="18" spans="2:7" ht="27" thickBot="1" thickTop="1">
      <c r="B18" s="453" t="s">
        <v>27</v>
      </c>
      <c r="C18" s="454"/>
      <c r="D18" s="454"/>
      <c r="E18" s="454"/>
      <c r="F18" s="455"/>
      <c r="G18" s="162"/>
    </row>
    <row r="19" spans="2:7" ht="18" thickBot="1" thickTop="1">
      <c r="B19" s="463" t="s">
        <v>43</v>
      </c>
      <c r="C19" s="464"/>
      <c r="D19" s="464"/>
      <c r="E19" s="464"/>
      <c r="F19" s="465"/>
      <c r="G19" s="163"/>
    </row>
    <row r="20" spans="2:7" ht="28.5" thickBot="1" thickTop="1">
      <c r="B20" s="174" t="s">
        <v>32</v>
      </c>
      <c r="C20" s="175"/>
      <c r="D20" s="26"/>
      <c r="E20" s="177" t="s">
        <v>34</v>
      </c>
      <c r="F20" s="175"/>
      <c r="G20" s="162"/>
    </row>
    <row r="21" spans="2:7" ht="24" thickBot="1" thickTop="1">
      <c r="B21" s="176" t="s">
        <v>55</v>
      </c>
      <c r="C21" s="175"/>
      <c r="D21" s="26"/>
      <c r="E21" s="178" t="s">
        <v>56</v>
      </c>
      <c r="F21" s="175"/>
      <c r="G21" s="162"/>
    </row>
    <row r="22" spans="2:7" ht="21.75" hidden="1" thickBot="1">
      <c r="B22" s="26"/>
      <c r="C22" s="26"/>
      <c r="D22" s="26"/>
      <c r="E22" s="25"/>
      <c r="F22" s="25"/>
      <c r="G22" s="162"/>
    </row>
    <row r="23" spans="2:7" ht="27" hidden="1" thickBot="1" thickTop="1">
      <c r="B23" s="26"/>
      <c r="C23" s="453" t="s">
        <v>28</v>
      </c>
      <c r="D23" s="454"/>
      <c r="E23" s="455"/>
      <c r="F23" s="25"/>
      <c r="G23" s="162"/>
    </row>
    <row r="24" spans="2:7" ht="18" hidden="1" thickBot="1" thickTop="1">
      <c r="B24" s="450" t="s">
        <v>58</v>
      </c>
      <c r="C24" s="451"/>
      <c r="D24" s="451"/>
      <c r="E24" s="451"/>
      <c r="F24" s="451"/>
      <c r="G24" s="452"/>
    </row>
    <row r="25" spans="1:7" ht="22.5" hidden="1" thickBot="1" thickTop="1">
      <c r="A25" s="294">
        <f>D25+E25+G25</f>
        <v>0</v>
      </c>
      <c r="B25" s="19"/>
      <c r="C25" s="19"/>
      <c r="D25" s="146"/>
      <c r="E25" s="147"/>
      <c r="F25" s="19"/>
      <c r="G25" s="147"/>
    </row>
    <row r="26" spans="2:7" ht="25.5" hidden="1" thickBot="1">
      <c r="B26" s="19"/>
      <c r="C26" s="19"/>
      <c r="D26" s="19"/>
      <c r="E26" s="19"/>
      <c r="F26" s="19"/>
      <c r="G26" s="278"/>
    </row>
    <row r="27" spans="2:7" ht="27" hidden="1" thickBot="1" thickTop="1">
      <c r="B27" s="19"/>
      <c r="C27" s="453" t="s">
        <v>29</v>
      </c>
      <c r="D27" s="454"/>
      <c r="E27" s="455"/>
      <c r="F27" s="19"/>
      <c r="G27" s="161"/>
    </row>
    <row r="28" spans="2:7" ht="18" hidden="1" thickBot="1" thickTop="1">
      <c r="B28" s="450" t="s">
        <v>59</v>
      </c>
      <c r="C28" s="451"/>
      <c r="D28" s="451"/>
      <c r="E28" s="451"/>
      <c r="F28" s="451"/>
      <c r="G28" s="452"/>
    </row>
    <row r="29" spans="1:7" ht="22.5" hidden="1" thickBot="1" thickTop="1">
      <c r="A29" s="294">
        <f>D29+E29+G29</f>
        <v>0</v>
      </c>
      <c r="B29" s="19"/>
      <c r="C29" s="19"/>
      <c r="D29" s="148"/>
      <c r="E29" s="148"/>
      <c r="F29" s="139"/>
      <c r="G29" s="148"/>
    </row>
    <row r="30" spans="2:7" ht="17.25" hidden="1" thickBot="1">
      <c r="B30" s="25"/>
      <c r="C30" s="25"/>
      <c r="D30" s="25"/>
      <c r="E30" s="25"/>
      <c r="F30" s="24"/>
      <c r="G30" s="24"/>
    </row>
    <row r="31" spans="2:7" ht="24.75" thickBot="1" thickTop="1">
      <c r="B31" s="456" t="s">
        <v>104</v>
      </c>
      <c r="C31" s="457"/>
      <c r="D31" s="457"/>
      <c r="E31" s="458"/>
      <c r="F31" s="459"/>
      <c r="G31" s="459"/>
    </row>
    <row r="32" spans="2:7" ht="17.25" thickBot="1" thickTop="1">
      <c r="B32" s="154" t="s">
        <v>5</v>
      </c>
      <c r="C32" s="154" t="s">
        <v>8</v>
      </c>
      <c r="D32" s="155" t="s">
        <v>9</v>
      </c>
      <c r="E32" s="154" t="s">
        <v>88</v>
      </c>
      <c r="F32" s="51"/>
      <c r="G32" s="130" t="s">
        <v>5</v>
      </c>
    </row>
    <row r="33" spans="1:7" ht="16.5" thickBot="1">
      <c r="A33">
        <f>G33</f>
        <v>13608</v>
      </c>
      <c r="B33" s="60" t="s">
        <v>105</v>
      </c>
      <c r="C33" s="61">
        <f>G33</f>
        <v>13608</v>
      </c>
      <c r="D33" s="62">
        <v>0</v>
      </c>
      <c r="E33" s="63">
        <f aca="true" t="shared" si="0" ref="E33:E38">C33*D33</f>
        <v>0</v>
      </c>
      <c r="G33" s="55">
        <f>7*Parámetros!E32</f>
        <v>13608</v>
      </c>
    </row>
    <row r="34" spans="1:7" ht="16.5" thickBot="1">
      <c r="A34">
        <f>IF(C52&gt;=G34,G34-G33,C52-G33)</f>
        <v>-13608</v>
      </c>
      <c r="B34" s="64" t="s">
        <v>106</v>
      </c>
      <c r="C34" s="65">
        <f>IF(A34&lt;=0,0,A34)</f>
        <v>0</v>
      </c>
      <c r="D34" s="66">
        <v>0.1</v>
      </c>
      <c r="E34" s="67">
        <f t="shared" si="0"/>
        <v>0</v>
      </c>
      <c r="G34" s="56">
        <f>10*Parámetros!E32</f>
        <v>19440</v>
      </c>
    </row>
    <row r="35" spans="1:7" ht="16.5" thickBot="1">
      <c r="A35">
        <f>IF(C52&gt;=G35,G35-G34,C52-G34)</f>
        <v>-19440</v>
      </c>
      <c r="B35" s="68" t="s">
        <v>3</v>
      </c>
      <c r="C35" s="69">
        <f>IF(A35&lt;=0,0,A35)</f>
        <v>0</v>
      </c>
      <c r="D35" s="70">
        <v>0.15</v>
      </c>
      <c r="E35" s="71">
        <f t="shared" si="0"/>
        <v>0</v>
      </c>
      <c r="G35" s="57">
        <f>15*Parámetros!E32</f>
        <v>29160</v>
      </c>
    </row>
    <row r="36" spans="1:7" ht="16.5" thickBot="1">
      <c r="A36">
        <f>IF(C52&gt;=G36,G36-G35,C52-G35)</f>
        <v>-29160</v>
      </c>
      <c r="B36" s="72" t="s">
        <v>13</v>
      </c>
      <c r="C36" s="73">
        <f>IF(A36&lt;=0,0,A36)</f>
        <v>0</v>
      </c>
      <c r="D36" s="74">
        <v>0.2</v>
      </c>
      <c r="E36" s="75">
        <f t="shared" si="0"/>
        <v>0</v>
      </c>
      <c r="G36" s="58">
        <f>50*Parámetros!E32</f>
        <v>97200</v>
      </c>
    </row>
    <row r="37" spans="1:7" ht="16.5" thickBot="1">
      <c r="A37">
        <f>IF(C52&gt;=G37,G37-G36,C52-G36)</f>
        <v>-97200</v>
      </c>
      <c r="B37" s="76" t="s">
        <v>14</v>
      </c>
      <c r="C37" s="77">
        <f>IF(A37&lt;=0,0,A37)</f>
        <v>0</v>
      </c>
      <c r="D37" s="78">
        <v>0.22</v>
      </c>
      <c r="E37" s="79">
        <f t="shared" si="0"/>
        <v>0</v>
      </c>
      <c r="G37" s="59">
        <f>100*Parámetros!E32</f>
        <v>194400</v>
      </c>
    </row>
    <row r="38" spans="1:5" ht="16.5" thickBot="1">
      <c r="A38">
        <f>IF(C52&gt;G37,C52-G37,0)</f>
        <v>0</v>
      </c>
      <c r="B38" s="80" t="s">
        <v>15</v>
      </c>
      <c r="C38" s="279">
        <f>IF(A38&lt;=0,0,A38)</f>
        <v>0</v>
      </c>
      <c r="D38" s="280">
        <v>0.25</v>
      </c>
      <c r="E38" s="149">
        <f t="shared" si="0"/>
        <v>0</v>
      </c>
    </row>
    <row r="39" spans="3:7" ht="21.75" thickBot="1" thickTop="1">
      <c r="C39" s="442" t="s">
        <v>40</v>
      </c>
      <c r="D39" s="443"/>
      <c r="E39" s="281">
        <f>SUM(E34:E38)</f>
        <v>0</v>
      </c>
      <c r="F39" s="444"/>
      <c r="G39" s="444"/>
    </row>
    <row r="40" spans="3:7" ht="23.25" hidden="1" thickBot="1" thickTop="1">
      <c r="C40" s="283"/>
      <c r="D40" s="283"/>
      <c r="E40" s="284"/>
      <c r="F40" s="282"/>
      <c r="G40" s="282"/>
    </row>
    <row r="41" spans="2:7" ht="34.5" thickBot="1" thickTop="1">
      <c r="B41" s="445" t="s">
        <v>107</v>
      </c>
      <c r="C41" s="446"/>
      <c r="D41" s="446"/>
      <c r="E41" s="447"/>
      <c r="F41" s="448">
        <f>C51</f>
        <v>0</v>
      </c>
      <c r="G41" s="449"/>
    </row>
    <row r="42" spans="2:7" ht="21.75" hidden="1">
      <c r="B42" s="285"/>
      <c r="C42" s="286" t="s">
        <v>108</v>
      </c>
      <c r="D42" s="286"/>
      <c r="E42" s="287"/>
      <c r="F42" s="288"/>
      <c r="G42" s="288"/>
    </row>
    <row r="43" spans="3:7" ht="22.5" hidden="1" thickBot="1">
      <c r="C43" s="283"/>
      <c r="D43" s="283"/>
      <c r="E43" s="284"/>
      <c r="F43" s="282"/>
      <c r="G43" s="282"/>
    </row>
    <row r="44" spans="2:7" ht="39" thickBot="1" thickTop="1">
      <c r="B44" s="289" t="s">
        <v>104</v>
      </c>
      <c r="C44" s="433">
        <f>IF(E39-C119&lt;0,0,E39-C119)</f>
        <v>0</v>
      </c>
      <c r="D44" s="434"/>
      <c r="E44" s="290" t="s">
        <v>109</v>
      </c>
      <c r="F44" s="435">
        <f>C50</f>
        <v>0</v>
      </c>
      <c r="G44" s="436"/>
    </row>
    <row r="45" spans="6:7" ht="19.5" hidden="1" thickBot="1" thickTop="1">
      <c r="F45" s="27"/>
      <c r="G45" s="22"/>
    </row>
    <row r="46" spans="2:7" ht="42.75" hidden="1" thickBot="1" thickTop="1">
      <c r="B46" s="437" t="s">
        <v>30</v>
      </c>
      <c r="C46" s="438"/>
      <c r="D46" s="438"/>
      <c r="E46" s="439"/>
      <c r="F46" s="440" t="e">
        <f>E44-C55</f>
        <v>#VALUE!</v>
      </c>
      <c r="G46" s="441"/>
    </row>
    <row r="47" spans="3:7" ht="14.25" hidden="1" thickBot="1" thickTop="1">
      <c r="C47" s="1"/>
      <c r="G47" s="3"/>
    </row>
    <row r="48" spans="2:3" ht="16.5" hidden="1" thickBot="1">
      <c r="B48" s="41" t="s">
        <v>37</v>
      </c>
      <c r="C48" s="42">
        <f>IF(A12&gt;0,A12*0.125%,0)</f>
        <v>0</v>
      </c>
    </row>
    <row r="49" spans="2:6" ht="16.5" hidden="1" thickBot="1">
      <c r="B49" s="38" t="s">
        <v>120</v>
      </c>
      <c r="C49" s="40">
        <f>IF(A9&lt;=0,A12,A12+A9)</f>
        <v>0</v>
      </c>
      <c r="E49" s="428" t="s">
        <v>7</v>
      </c>
      <c r="F49" s="429"/>
    </row>
    <row r="50" spans="2:7" ht="16.5" hidden="1" thickBot="1">
      <c r="B50" s="39" t="s">
        <v>109</v>
      </c>
      <c r="C50" s="43">
        <f>IF(C49&lt;=G55,C49*3%,IF(G6&gt;0,C49*6%,C49*4.5%))</f>
        <v>0</v>
      </c>
      <c r="D50" s="172" t="s">
        <v>62</v>
      </c>
      <c r="E50" s="6">
        <v>0</v>
      </c>
      <c r="F50" s="20">
        <f>3*F55</f>
        <v>5832</v>
      </c>
      <c r="G50" s="168">
        <f>(F50+2)*1.02</f>
        <v>5950.68</v>
      </c>
    </row>
    <row r="51" spans="2:7" ht="16.5" hidden="1" thickBot="1">
      <c r="B51" s="96" t="s">
        <v>0</v>
      </c>
      <c r="C51" s="97">
        <f>E94</f>
        <v>0</v>
      </c>
      <c r="D51" s="42">
        <f>C51+C50+C48</f>
        <v>0</v>
      </c>
      <c r="E51" s="7">
        <v>0.02</v>
      </c>
      <c r="F51" s="21">
        <f>6*F55</f>
        <v>11664</v>
      </c>
      <c r="G51" s="168">
        <f>(F51+35)*1.06</f>
        <v>12400.94</v>
      </c>
    </row>
    <row r="52" spans="2:7" ht="16.5" hidden="1" thickBot="1">
      <c r="B52" s="90" t="s">
        <v>121</v>
      </c>
      <c r="C52" s="91">
        <f>G4</f>
        <v>0</v>
      </c>
      <c r="E52" s="8">
        <v>0.06</v>
      </c>
      <c r="F52" s="171">
        <f>(F55*6)+1</f>
        <v>11665</v>
      </c>
      <c r="G52" s="168">
        <f>(F51+4)*1.02</f>
        <v>11901.36</v>
      </c>
    </row>
    <row r="53" spans="2:7" ht="16.5" hidden="1" thickBot="1">
      <c r="B53" s="92" t="s">
        <v>41</v>
      </c>
      <c r="C53" s="93">
        <f>A25</f>
        <v>0</v>
      </c>
      <c r="E53" s="169"/>
      <c r="F53" s="170"/>
      <c r="G53" s="1"/>
    </row>
    <row r="54" spans="2:7" ht="16.5" hidden="1" thickBot="1">
      <c r="B54" s="94" t="s">
        <v>42</v>
      </c>
      <c r="C54" s="95">
        <f>A29</f>
        <v>0</v>
      </c>
      <c r="D54" s="291">
        <f>C53+C54</f>
        <v>0</v>
      </c>
      <c r="F54" s="2"/>
      <c r="G54" s="291" t="s">
        <v>110</v>
      </c>
    </row>
    <row r="55" spans="2:7" ht="21" hidden="1" thickBot="1">
      <c r="B55" s="98" t="s">
        <v>36</v>
      </c>
      <c r="C55" s="99" t="e">
        <f>#REF!+F44</f>
        <v>#REF!</v>
      </c>
      <c r="E55" s="35" t="s">
        <v>4</v>
      </c>
      <c r="F55" s="89">
        <f>Parámetros!E32</f>
        <v>1944</v>
      </c>
      <c r="G55" s="292">
        <f>2.5*F55</f>
        <v>4860</v>
      </c>
    </row>
    <row r="56" spans="2:3" ht="18.75" hidden="1" thickBot="1">
      <c r="B56" s="158" t="s">
        <v>54</v>
      </c>
      <c r="C56" s="159">
        <f>C48+C50+C51</f>
        <v>0</v>
      </c>
    </row>
    <row r="57" ht="13.5" hidden="1" thickBot="1"/>
    <row r="58" spans="2:5" ht="18.75" hidden="1" thickBot="1">
      <c r="B58" s="374" t="s">
        <v>12</v>
      </c>
      <c r="C58" s="375"/>
      <c r="D58" s="375"/>
      <c r="E58" s="376"/>
    </row>
    <row r="59" spans="2:7" ht="15.75" hidden="1" thickBot="1">
      <c r="B59" s="10" t="s">
        <v>5</v>
      </c>
      <c r="C59" s="9" t="s">
        <v>8</v>
      </c>
      <c r="D59" s="10" t="s">
        <v>9</v>
      </c>
      <c r="E59" s="10" t="s">
        <v>88</v>
      </c>
      <c r="G59" s="165"/>
    </row>
    <row r="60" spans="1:7" ht="12.75" hidden="1">
      <c r="A60">
        <f>G60</f>
        <v>15552</v>
      </c>
      <c r="B60" s="28" t="s">
        <v>111</v>
      </c>
      <c r="C60" s="13">
        <f>'[1]DEDUCCIONES'!D29*5</f>
        <v>0</v>
      </c>
      <c r="D60" s="4">
        <v>0</v>
      </c>
      <c r="E60" s="16">
        <f>C60*D60</f>
        <v>0</v>
      </c>
      <c r="G60" s="298">
        <f>8*Parámetros!E32</f>
        <v>15552</v>
      </c>
    </row>
    <row r="61" spans="1:7" ht="12.75" hidden="1">
      <c r="A61">
        <f>IF(D54&gt;=G61,G60,D54-G60)</f>
        <v>-15552</v>
      </c>
      <c r="B61" s="29" t="s">
        <v>112</v>
      </c>
      <c r="C61" s="14">
        <f>IF(A36&lt;=0,0,A36)</f>
        <v>0</v>
      </c>
      <c r="D61" s="5">
        <v>0.1</v>
      </c>
      <c r="E61" s="17">
        <f>C61*D61</f>
        <v>0</v>
      </c>
      <c r="G61" s="299">
        <f>15*Parámetros!E32</f>
        <v>29160</v>
      </c>
    </row>
    <row r="62" spans="1:7" ht="13.5" hidden="1" thickBot="1">
      <c r="A62">
        <f>IF(D54&gt;=G62,G60,D54-G61)</f>
        <v>-29160</v>
      </c>
      <c r="B62" s="29" t="s">
        <v>16</v>
      </c>
      <c r="C62" s="15">
        <f>IF(A37&lt;=0,0,A37)</f>
        <v>0</v>
      </c>
      <c r="D62" s="5">
        <v>0.15</v>
      </c>
      <c r="E62" s="17">
        <f>C62*D62</f>
        <v>0</v>
      </c>
      <c r="G62" s="300">
        <f>50*Parámetros!E32</f>
        <v>97200</v>
      </c>
    </row>
    <row r="63" spans="1:7" ht="13.5" hidden="1" thickBot="1">
      <c r="A63">
        <f>IF(D54&gt;G62,D54-G62,0)</f>
        <v>0</v>
      </c>
      <c r="B63" s="30" t="s">
        <v>17</v>
      </c>
      <c r="C63" s="31">
        <f>IF(A38&lt;=0,0,A38)</f>
        <v>0</v>
      </c>
      <c r="D63" s="32">
        <v>0.25</v>
      </c>
      <c r="E63" s="33">
        <f>C63*D63</f>
        <v>0</v>
      </c>
      <c r="G63" s="166"/>
    </row>
    <row r="64" spans="3:7" ht="18.75" hidden="1" thickBot="1">
      <c r="C64" s="374" t="s">
        <v>6</v>
      </c>
      <c r="D64" s="376"/>
      <c r="E64" s="18">
        <f>SUM(E61:E62)</f>
        <v>0</v>
      </c>
      <c r="G64" s="166"/>
    </row>
    <row r="65" spans="1:7" ht="12.75" hidden="1">
      <c r="A65" s="295"/>
      <c r="B65" s="295"/>
      <c r="C65" s="27"/>
      <c r="D65" s="27"/>
      <c r="E65" s="296"/>
      <c r="F65" s="295"/>
      <c r="G65" s="297"/>
    </row>
    <row r="66" spans="1:7" ht="12.75" hidden="1">
      <c r="A66" s="295"/>
      <c r="B66" s="295"/>
      <c r="C66" s="27"/>
      <c r="D66" s="27"/>
      <c r="E66" s="296"/>
      <c r="F66" s="295"/>
      <c r="G66" s="297"/>
    </row>
    <row r="67" ht="12.75" hidden="1">
      <c r="G67" s="27"/>
    </row>
    <row r="68" ht="12.75" hidden="1">
      <c r="G68" s="27"/>
    </row>
    <row r="69" ht="13.5" hidden="1" thickBot="1">
      <c r="G69" s="166"/>
    </row>
    <row r="70" spans="2:7" ht="16.5" hidden="1" thickBot="1">
      <c r="B70" s="135" t="s">
        <v>44</v>
      </c>
      <c r="C70" s="136"/>
      <c r="D70" s="137"/>
      <c r="G70" s="167"/>
    </row>
    <row r="71" ht="13.5" hidden="1" thickBot="1">
      <c r="C71" s="132"/>
    </row>
    <row r="72" spans="3:7" ht="13.5" hidden="1" thickBot="1">
      <c r="C72" s="264">
        <f>IF(B12&gt;G51,B12*6%,(IF(B12&lt;=F50,0,IF(AND(B12&gt;F50,B12&lt;=G50),B12*2%-(F50-(B12-(B12*2%))),IF(AND(B12&gt;F51,B12&lt;=G51),B12*6%-(I51-(B12-(B12*6%))),B12*2%)))))</f>
        <v>0</v>
      </c>
      <c r="E72" s="133" t="s">
        <v>46</v>
      </c>
      <c r="G72" s="164"/>
    </row>
    <row r="73" spans="3:7" ht="16.5" hidden="1" thickBot="1">
      <c r="C73" s="264">
        <f>IF(C12&gt;G51,C12*6%,(IF(C12&lt;=F50,0,IF(AND(C12&gt;F50,C12&lt;=G50),C12*2%-(F50-(C12-(C12*2%))),IF(AND(C12&gt;F51,C12&lt;=G51),C12*6%-(I51-(C12-(C12*6%))),C12*2%)))))</f>
        <v>0</v>
      </c>
      <c r="E73" s="93">
        <f>IF(G25&gt;G52,G25*2%,(IF(G25&lt;=F51,0,G25-F51)))+IF(E25&gt;G52,E25*2%,(IF(E25&lt;=F51,0,E25-F51)))+IF(D25&gt;G52,D25*2%,(IF(D25&lt;=F51,0,D25-F51)))</f>
        <v>0</v>
      </c>
      <c r="G73" s="164"/>
    </row>
    <row r="74" spans="3:7" ht="13.5" hidden="1" thickBot="1">
      <c r="C74" s="264">
        <f>IF(D12&gt;G51,D12*6%,(IF(D12&lt;=F50,0,IF(AND(D12&gt;F50,D12&lt;=G50),D12*2%-(F50-(D12-(D12*2%))),IF(AND(D12&gt;F51,D12&lt;=G51),D12*6%-(I51-(D12-(D12*6%))),D12*2%)))))</f>
        <v>0</v>
      </c>
      <c r="G74" s="164"/>
    </row>
    <row r="75" spans="3:5" ht="13.5" hidden="1" thickBot="1">
      <c r="C75" s="264">
        <f>IF(E12&gt;G51,E12*6%,(IF(E12&lt;=F50,0,IF(AND(E12&gt;F50,E12&lt;=G50),E12*2%-(F50-(E12-(E12*2%))),IF(AND(E12&gt;F51,E12&lt;=G51),E12*6%-(I51-(E12-(E12*6%))),E12*2%)))))</f>
        <v>0</v>
      </c>
      <c r="E75" s="134" t="s">
        <v>47</v>
      </c>
    </row>
    <row r="76" spans="3:7" ht="16.5" hidden="1" thickBot="1">
      <c r="C76" s="264">
        <f>IF(F12&gt;G51,F12*6%,(IF(F12&lt;=F50,0,IF(AND(F12&gt;F50,F12&lt;=G50),F12*2%-(F50-(F12-(F12*2%))),IF(AND(F12&gt;F51,F12&lt;=G51),F12*6%-(I51-(F12-(F12*6%))),F12*2%)))))</f>
        <v>0</v>
      </c>
      <c r="E76" s="270">
        <f>IF(G29&gt;G52,G29*2%,(IF(G29&lt;=F51,0,G29-F51)))+IF(E29&gt;G52,E29*2%,(IF(E29&lt;=F51,0,E29-F51)))+IF(D29&gt;G52,D29*2%,(IF(D29&lt;=F51,0,D29-F51)))</f>
        <v>0</v>
      </c>
      <c r="G76" s="164"/>
    </row>
    <row r="77" ht="13.5" hidden="1" thickBot="1">
      <c r="C77" s="264">
        <f>IF(G12&gt;G51,G12*6%,(IF(G12&lt;=F50,0,IF(AND(G12&gt;F50,G12&lt;=G50),G12*2%-(F50-(G12-(G12*2%))),IF(AND(G12&gt;F51,G12&lt;=G51),G12*6%-(I51-(G12-(G12*6%))),G12*2%)))))</f>
        <v>0</v>
      </c>
    </row>
    <row r="78" spans="2:3" ht="18.75" hidden="1" thickBot="1">
      <c r="B78" s="138" t="s">
        <v>45</v>
      </c>
      <c r="C78" s="265">
        <f>SUM(C72:C77)</f>
        <v>0</v>
      </c>
    </row>
    <row r="79" ht="13.5" hidden="1" thickBot="1"/>
    <row r="80" spans="2:4" ht="16.5" hidden="1" thickBot="1">
      <c r="B80" s="430" t="s">
        <v>48</v>
      </c>
      <c r="C80" s="431"/>
      <c r="D80" s="432"/>
    </row>
    <row r="81" ht="12.75" hidden="1">
      <c r="C81" s="266">
        <f>IF(G9&gt;G51,G9*6%,(IF(G9&lt;=F50,0,IF(AND(G9&gt;F50,G9&lt;=G50),G9*2%-(F50-(G9-(G9*2%))),IF(AND(G9&gt;F51,G9&lt;=G51),G9*6%-(I51-(G9-(G9*6%))),G9*2%)))))</f>
        <v>0</v>
      </c>
    </row>
    <row r="82" ht="12.75" hidden="1">
      <c r="C82" s="267">
        <f>IF(E9&gt;G51,E9*6%,(IF(E9&lt;=F50,0,IF(AND(E9&gt;F50,E9&lt;=G50),E9*2%-(F50-(E9-(E9*2%))),IF(AND(E9&gt;F51,E9&lt;=G51),E9*6%-(I51-(E9-(E9*6%))),E9*2%)))))</f>
        <v>0</v>
      </c>
    </row>
    <row r="83" ht="13.5" hidden="1" thickBot="1">
      <c r="C83" s="268">
        <f>IF(D9&gt;G51,D9*6%,(IF(D9&lt;=F50,0,IF(AND(D9&gt;F50,D9&lt;=G50),D9*2%-(F50-(D9-(D9*2%))),IF(AND(D9&gt;F51,D9&lt;=G51),D9*6%-(I51-(D9-(D9*6%))),D9*2%)))))</f>
        <v>0</v>
      </c>
    </row>
    <row r="84" spans="2:3" ht="18.75" hidden="1" thickBot="1">
      <c r="B84" s="143" t="s">
        <v>45</v>
      </c>
      <c r="C84" s="269">
        <f>SUM(C81:C83)</f>
        <v>0</v>
      </c>
    </row>
    <row r="85" ht="12.75" hidden="1"/>
    <row r="86" ht="12.75" hidden="1"/>
    <row r="87" ht="12.75" hidden="1"/>
    <row r="88" ht="13.5" hidden="1" thickBot="1"/>
    <row r="89" spans="3:5" ht="13.5" hidden="1" thickBot="1">
      <c r="C89" s="418" t="s">
        <v>49</v>
      </c>
      <c r="D89" s="419"/>
      <c r="E89" s="86">
        <f>Parámetros!E57</f>
        <v>59414</v>
      </c>
    </row>
    <row r="90" ht="13.5" hidden="1" thickBot="1"/>
    <row r="91" spans="4:5" ht="16.5" hidden="1" thickBot="1">
      <c r="D91" s="85" t="s">
        <v>50</v>
      </c>
      <c r="E91" s="156">
        <f>C49*15%</f>
        <v>0</v>
      </c>
    </row>
    <row r="92" spans="4:5" ht="16.5" hidden="1" thickBot="1">
      <c r="D92" s="85" t="s">
        <v>51</v>
      </c>
      <c r="E92" s="156">
        <f>IF(C49&lt;=E89,C49*15%,E89*15%)</f>
        <v>0</v>
      </c>
    </row>
    <row r="93" ht="13.5" hidden="1" thickBot="1">
      <c r="E93" s="1"/>
    </row>
    <row r="94" spans="4:5" ht="18.75" hidden="1" thickBot="1">
      <c r="D94" s="85" t="s">
        <v>53</v>
      </c>
      <c r="E94" s="157">
        <f>IF(G7=1,E92,E91)</f>
        <v>0</v>
      </c>
    </row>
    <row r="95" ht="13.5" hidden="1" thickBot="1"/>
    <row r="96" spans="2:7" ht="27.75" hidden="1" thickBot="1" thickTop="1">
      <c r="B96" s="420" t="s">
        <v>22</v>
      </c>
      <c r="C96" s="421"/>
      <c r="D96" s="421"/>
      <c r="E96" s="421"/>
      <c r="F96" s="421"/>
      <c r="G96" s="184">
        <f>C119</f>
        <v>0</v>
      </c>
    </row>
    <row r="97" ht="13.5" hidden="1" thickBot="1"/>
    <row r="98" spans="2:4" ht="21" hidden="1" thickBot="1">
      <c r="B98" s="397" t="s">
        <v>11</v>
      </c>
      <c r="C98" s="398"/>
      <c r="D98" s="399"/>
    </row>
    <row r="99" spans="2:5" ht="18.75" hidden="1" thickBot="1">
      <c r="B99" s="422" t="s">
        <v>64</v>
      </c>
      <c r="C99" s="423"/>
      <c r="D99" s="424"/>
      <c r="E99" s="215">
        <f>Parámetros!E4</f>
        <v>2106</v>
      </c>
    </row>
    <row r="100" ht="13.5" hidden="1" thickBot="1"/>
    <row r="101" spans="2:4" ht="21" hidden="1" thickBot="1">
      <c r="B101" s="403" t="s">
        <v>11</v>
      </c>
      <c r="C101" s="404"/>
      <c r="D101" s="405"/>
    </row>
    <row r="102" spans="2:5" ht="18.75" hidden="1" thickBot="1">
      <c r="B102" s="425" t="s">
        <v>114</v>
      </c>
      <c r="C102" s="426"/>
      <c r="D102" s="427"/>
      <c r="E102" s="126">
        <f>Parámetros!E9</f>
        <v>4212</v>
      </c>
    </row>
    <row r="103" ht="13.5" hidden="1" thickBot="1"/>
    <row r="104" spans="1:7" ht="16.5" hidden="1" thickBot="1">
      <c r="A104" s="382" t="s">
        <v>23</v>
      </c>
      <c r="B104" s="396"/>
      <c r="C104" s="383"/>
      <c r="E104" s="382" t="s">
        <v>25</v>
      </c>
      <c r="F104" s="396"/>
      <c r="G104" s="383"/>
    </row>
    <row r="105" spans="2:6" ht="18.75" hidden="1" thickBot="1">
      <c r="B105" s="46">
        <f>IF(G5=0,0,(E94+C50+C48+(C20/12)+(F20/12)+C21+F21+(G14*E99)+(G16*E102)))</f>
        <v>0</v>
      </c>
      <c r="E105" s="84">
        <f>IF(A25&gt;E128,A25*1%,A25*3%)</f>
        <v>0</v>
      </c>
      <c r="F105" s="49">
        <f>IF(A25&lt;=0,0,IF(AND(A29&lt;=0,B105&lt;=0),F108,IF(AND(A29&lt;=0,E105&gt;0),E102+E105,F108)))</f>
        <v>0</v>
      </c>
    </row>
    <row r="106" spans="2:6" ht="18.75" hidden="1" thickBot="1">
      <c r="B106" s="87"/>
      <c r="E106" s="88"/>
      <c r="F106" s="49"/>
    </row>
    <row r="107" ht="13.5" hidden="1" thickBot="1"/>
    <row r="108" spans="1:6" ht="16.5" hidden="1" thickBot="1">
      <c r="A108" s="83"/>
      <c r="C108" s="382" t="s">
        <v>26</v>
      </c>
      <c r="D108" s="383"/>
      <c r="E108" s="85">
        <f>IF(G5&lt;=0,(C20/12)+(F20/12)+C21+F21+G14*E99+G16*E102,0)</f>
        <v>0</v>
      </c>
      <c r="F108" s="86">
        <f>E108+E105+E102</f>
        <v>4212</v>
      </c>
    </row>
    <row r="109" spans="3:4" ht="21" hidden="1" thickBot="1">
      <c r="C109" s="384">
        <f>IF(A29&lt;=0,0,IF(AND(A25&lt;=0,B105&lt;=0),F108,IF(AND(A25&lt;=0,B105&gt;0),F108,0)))</f>
        <v>0</v>
      </c>
      <c r="D109" s="385"/>
    </row>
    <row r="110" spans="3:4" ht="21" hidden="1" thickBot="1">
      <c r="C110" s="36"/>
      <c r="D110" s="36"/>
    </row>
    <row r="111" spans="2:5" ht="24" hidden="1" thickBot="1">
      <c r="B111" s="388" t="s">
        <v>35</v>
      </c>
      <c r="C111" s="389"/>
      <c r="D111" s="390"/>
      <c r="E111" s="47">
        <f>B105</f>
        <v>0</v>
      </c>
    </row>
    <row r="112" ht="13.5" hidden="1" thickBot="1"/>
    <row r="113" spans="2:7" ht="13.5" hidden="1" thickBot="1">
      <c r="B113" s="41" t="s">
        <v>5</v>
      </c>
      <c r="C113" s="52" t="s">
        <v>18</v>
      </c>
      <c r="D113" s="41" t="s">
        <v>9</v>
      </c>
      <c r="E113" s="53" t="s">
        <v>88</v>
      </c>
      <c r="G113" s="54" t="s">
        <v>5</v>
      </c>
    </row>
    <row r="114" spans="1:7" ht="15" hidden="1">
      <c r="A114" s="37">
        <f>IF(E111&lt;=G114,E111,G114)</f>
        <v>0</v>
      </c>
      <c r="B114" s="100" t="s">
        <v>115</v>
      </c>
      <c r="C114" s="101">
        <f>IF(A114&lt;=0,0,A114)</f>
        <v>0</v>
      </c>
      <c r="D114" s="102">
        <v>0.1</v>
      </c>
      <c r="E114" s="103">
        <f>C114*D114</f>
        <v>0</v>
      </c>
      <c r="G114" s="122">
        <f>3*Parámetros!E32</f>
        <v>5832</v>
      </c>
    </row>
    <row r="115" spans="1:7" ht="15" hidden="1">
      <c r="A115" s="37">
        <f>IF(E111&gt;=G115,G115-G114,E111-G114)</f>
        <v>-5832</v>
      </c>
      <c r="B115" s="104" t="s">
        <v>116</v>
      </c>
      <c r="C115" s="105">
        <f>IF(A115&lt;=0,0,A115)</f>
        <v>0</v>
      </c>
      <c r="D115" s="106">
        <v>0.15</v>
      </c>
      <c r="E115" s="107">
        <f>C115*D115</f>
        <v>0</v>
      </c>
      <c r="G115" s="123">
        <f>8*Parámetros!E32</f>
        <v>15552</v>
      </c>
    </row>
    <row r="116" spans="1:7" ht="15" hidden="1">
      <c r="A116" s="37">
        <f>IF(E111&gt;=G116,G116-G115,E111-G115)</f>
        <v>-15552</v>
      </c>
      <c r="B116" s="108" t="s">
        <v>117</v>
      </c>
      <c r="C116" s="109">
        <f>IF(A116&lt;=0,0,A116)</f>
        <v>0</v>
      </c>
      <c r="D116" s="110">
        <v>0.2</v>
      </c>
      <c r="E116" s="111">
        <f>C116*D116</f>
        <v>0</v>
      </c>
      <c r="G116" s="124">
        <f>43*Parámetros!E32</f>
        <v>83592</v>
      </c>
    </row>
    <row r="117" spans="1:7" ht="15.75" hidden="1" thickBot="1">
      <c r="A117" s="37">
        <f>IF(E111&gt;=G117,G117-G116,E111-G116)</f>
        <v>-83592</v>
      </c>
      <c r="B117" s="112" t="s">
        <v>118</v>
      </c>
      <c r="C117" s="113">
        <f>IF(A117&lt;=0,0,A117)</f>
        <v>0</v>
      </c>
      <c r="D117" s="114">
        <v>0.22</v>
      </c>
      <c r="E117" s="115">
        <f>C117*D117</f>
        <v>0</v>
      </c>
      <c r="G117" s="125">
        <f>93*Parámetros!E32</f>
        <v>180792</v>
      </c>
    </row>
    <row r="118" spans="1:5" ht="15.75" hidden="1" thickBot="1">
      <c r="A118" s="37">
        <f>IF(E111&gt;G117,E111-G117,0)</f>
        <v>0</v>
      </c>
      <c r="B118" s="116" t="s">
        <v>119</v>
      </c>
      <c r="C118" s="117">
        <f>IF(A118&lt;=0,0,A118)</f>
        <v>0</v>
      </c>
      <c r="D118" s="182">
        <v>0.25</v>
      </c>
      <c r="E118" s="183">
        <f>C118*D118</f>
        <v>0</v>
      </c>
    </row>
    <row r="119" spans="2:5" ht="27" hidden="1" thickBot="1">
      <c r="B119" s="120"/>
      <c r="C119" s="411">
        <f>SUM(E114:E118)</f>
        <v>0</v>
      </c>
      <c r="D119" s="412"/>
      <c r="E119" s="413"/>
    </row>
    <row r="120" ht="12.75" hidden="1"/>
    <row r="121" ht="13.5" hidden="1" thickBot="1"/>
    <row r="122" spans="4:5" ht="24" hidden="1" thickBot="1">
      <c r="D122" s="34" t="s">
        <v>4</v>
      </c>
      <c r="E122" s="81">
        <f>Parámetros!E32</f>
        <v>1944</v>
      </c>
    </row>
    <row r="123" ht="12.75" hidden="1"/>
    <row r="124" ht="13.5" hidden="1" thickBot="1"/>
    <row r="125" spans="3:5" ht="21" hidden="1" thickBot="1">
      <c r="C125" s="391" t="s">
        <v>39</v>
      </c>
      <c r="D125" s="392"/>
      <c r="E125" s="50">
        <f>3*E122</f>
        <v>5832</v>
      </c>
    </row>
    <row r="126" spans="3:5" ht="16.5" hidden="1" thickBot="1">
      <c r="C126" s="414" t="s">
        <v>24</v>
      </c>
      <c r="D126" s="415"/>
      <c r="E126" s="45">
        <f>3*E122+1</f>
        <v>5833</v>
      </c>
    </row>
    <row r="127" ht="13.5" hidden="1" thickBot="1"/>
    <row r="128" spans="3:5" ht="21" hidden="1" thickBot="1">
      <c r="C128" s="416" t="s">
        <v>31</v>
      </c>
      <c r="D128" s="417"/>
      <c r="E128" s="82">
        <f>Parámetros!E45</f>
        <v>5519.29</v>
      </c>
    </row>
    <row r="129" ht="12.75" hidden="1"/>
    <row r="130" ht="13.5" hidden="1" thickBot="1"/>
    <row r="131" spans="3:5" ht="21.75" hidden="1" thickBot="1" thickTop="1">
      <c r="C131" s="409" t="s">
        <v>52</v>
      </c>
      <c r="D131" s="410"/>
      <c r="E131" s="181">
        <f>Parámetros!E57</f>
        <v>59414</v>
      </c>
    </row>
    <row r="132" ht="12.75" hidden="1"/>
    <row r="133" ht="12.75" hidden="1"/>
    <row r="134" ht="12.75" hidden="1"/>
    <row r="135" ht="13.5" thickTop="1"/>
  </sheetData>
  <sheetProtection password="E71E" sheet="1" objects="1" scenarios="1"/>
  <mergeCells count="45">
    <mergeCell ref="C3:E3"/>
    <mergeCell ref="B4:F4"/>
    <mergeCell ref="B6:F6"/>
    <mergeCell ref="B7:F7"/>
    <mergeCell ref="B8:F8"/>
    <mergeCell ref="B11:F11"/>
    <mergeCell ref="B13:F13"/>
    <mergeCell ref="B14:F14"/>
    <mergeCell ref="B16:F16"/>
    <mergeCell ref="B18:F18"/>
    <mergeCell ref="B19:F19"/>
    <mergeCell ref="C23:E23"/>
    <mergeCell ref="B24:G24"/>
    <mergeCell ref="C27:E27"/>
    <mergeCell ref="B28:G28"/>
    <mergeCell ref="B31:E31"/>
    <mergeCell ref="F31:G31"/>
    <mergeCell ref="C39:D39"/>
    <mergeCell ref="F39:G39"/>
    <mergeCell ref="B41:E41"/>
    <mergeCell ref="F41:G41"/>
    <mergeCell ref="C44:D44"/>
    <mergeCell ref="F44:G44"/>
    <mergeCell ref="B46:E46"/>
    <mergeCell ref="F46:G46"/>
    <mergeCell ref="E49:F49"/>
    <mergeCell ref="B58:E58"/>
    <mergeCell ref="C64:D64"/>
    <mergeCell ref="B80:D80"/>
    <mergeCell ref="C89:D89"/>
    <mergeCell ref="B96:F96"/>
    <mergeCell ref="B98:D98"/>
    <mergeCell ref="B99:D99"/>
    <mergeCell ref="B101:D101"/>
    <mergeCell ref="B102:D102"/>
    <mergeCell ref="A104:C104"/>
    <mergeCell ref="E104:G104"/>
    <mergeCell ref="C108:D108"/>
    <mergeCell ref="C109:D109"/>
    <mergeCell ref="B111:D111"/>
    <mergeCell ref="C119:E119"/>
    <mergeCell ref="C125:D125"/>
    <mergeCell ref="C126:D126"/>
    <mergeCell ref="C128:D128"/>
    <mergeCell ref="C131:D131"/>
  </mergeCells>
  <dataValidations count="26">
    <dataValidation type="whole" allowBlank="1" showInputMessage="1" showErrorMessage="1" errorTitle="Dato no válido" error="Solo podrás ingresar números enteros, sin decimales. Tampoco digites puntos o comas." sqref="G14:G19">
      <formula1>0</formula1>
      <formula2>1E+33</formula2>
    </dataValidation>
    <dataValidation type="whole" allowBlank="1" showInputMessage="1" showErrorMessage="1" sqref="G8">
      <formula1>0</formula1>
      <formula2>1E+33</formula2>
    </dataValidation>
    <dataValidation type="whole" allowBlank="1" showInputMessage="1" showErrorMessage="1" promptTitle="PASIVIDAD" prompt="DIGITA AQUÍ DONDE ESTAS PARADO, EL IMPORTE DE TU PASIVIDAD NOMINAL, SIN DECIMALES Y SIN AGREGAR PUNTOS O COMAS. " sqref="G26">
      <formula1>0</formula1>
      <formula2>1E+37</formula2>
    </dataValidation>
    <dataValidation type="whole" allowBlank="1" showInputMessage="1" showErrorMessage="1" promptTitle="SUELDO" prompt="DIGITÁ AQUÍ DONDE ESTAS POSICIONADO, TU SUELDO NOMINAL O BRUTO SIN RESTARLE NINGUNA PARTIDA, (VER HOJA GUIA TRABAJADOR.&#10;INGRESALO SIN DECIMALES Y SIN AGREGAR PUNTOS O COMAS." errorTitle="Dato no válido" error="Solo podrás ingresar números enteros, sin decimales. Tampoco digites puntos o comas." sqref="G5">
      <formula1>0</formula1>
      <formula2>1E+36</formula2>
    </dataValidation>
    <dataValidation allowBlank="1" showInputMessage="1" showErrorMessage="1" promptTitle="B.P.C." prompt="Ingresar el valor actual de la Base de Prestaciones y Contribuciones, decretada por el Poder Ejecutivo" sqref="F55"/>
    <dataValidation type="whole" allowBlank="1" showInputMessage="1" showErrorMessage="1" promptTitle="PENSION" prompt="DIGITAR EL IMPORTE DE TU PENSIÓN NOMINAL, SIN DECIMALES. TAMPOCO DIGITES PUNTOS O COMAS.&#10;EN CASO DE TENER MAS DE UNA PENSIÓN, INGRESAR UNA POR CELDA.&#10;VER HOJA DE GUIA PENSIÓN." errorTitle="Dato no válido." error="Solo podras ingresar números enteros, sin decimales, puntos o comas" sqref="G29">
      <formula1>0</formula1>
      <formula2>1E+37</formula2>
    </dataValidation>
    <dataValidation type="whole" allowBlank="1" showInputMessage="1" showErrorMessage="1" promptTitle="JUBILACIÓN" prompt="DIGITAR AQUÍ, EL IMPORTE DE TU JUBILACIÓN NOMINAL, SIN DECIMALES Y SIN AGREGAR PUNTOS O COMAS. &#10;EN CASO DE TENER MAS DE UNA JUBILACIÓN, INGRESAR UNA JUBILACIÓN POR CELDA.&#10;VER HOJA DE GUIA JUBILACIÓN." errorTitle="Dato no válido" error="Solo podras ingresar números enteros, sin decimales, puntos o comas." sqref="G25">
      <formula1>0</formula1>
      <formula2>1E+37</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errorTitle="Dato no válido" error="Debes ingresar un número entero, sin decimilas, ni comas ni puntos." sqref="G10">
      <formula1>0</formula1>
      <formula2>1E+33</formula2>
    </dataValidation>
    <dataValidation type="whole" allowBlank="1" showInputMessage="1" showErrorMessage="1" promptTitle="BRUTO SIN PARTIDAS NO GRAVADAS" prompt="Ingresá tu SUELDO NOMINAL restandole al mismo las partidas no gravadas por el B.P.S. Por ejemplo: TICKETS ALIMENTACIÒN, TICKETS TRANSPORTE,  SEGUNDO AGUINALDO y otros, (ver hoja GUIA TRABAJADOR, punto 3). &#10;Ingresá el monto sin decimales, puntos o comas." errorTitle="Dato no válido" error="Debes ingresar un número entero, sin decimilas, ni comas ni puntos." sqref="G12">
      <formula1>0</formula1>
      <formula2>1E+33</formula2>
    </dataValidation>
    <dataValidation type="whole" allowBlank="1" showInputMessage="1" showErrorMessage="1" promptTitle="BRUTO SIN PARTIDAS NO GRAVADAS" prompt="Ingresá tu SUELDO NOMINAL restandole al mismo las partidas no gravadas por el B.P.S. Por ejemplo: CUOTA MUTUAL, HOGAR CONSTITUIDO, PRIMA POR NACIMIENTO, y otros, (VER HOJA GUIA TRABAJADOR, punto 3). Ingresalo sin decimales, puntos o comas." errorTitle="Dato no válido" error="Debes ingresar un número entero, sin decimilas, ni comas ni puntos." sqref="G9">
      <formula1>0</formula1>
      <formula2>1E+33</formula2>
    </dataValidation>
    <dataValidation type="whole" allowBlank="1" showInputMessage="1" showErrorMessage="1" promptTitle="APORTES a CAJA de PROFESIONALES " prompt="Ingresar el aporte mensual a la CAJA DE JUBILACIONES y PENSIONES DE PROFESIONALES UNIVERSITARIOS." errorTitle="Dato no válido" error="Debe ingresar un número entero." sqref="C21">
      <formula1>1</formula1>
      <formula2>1000000000000000000</formula2>
    </dataValidation>
    <dataValidation type="whole" allowBlank="1" showInputMessage="1" showErrorMessage="1" promptTitle="REINTEGROS CAJA PROFESIONAL" prompt="Ingresar el importe mensual de los REINTEGROS de CAJA DE JUBILACIONES Y PENSIONES DE PROFESIONALES UNIVERSITARIOS." errorTitle="Dato no válido" error="Ingresar un número entero, sin puntos ni comas." sqref="F21">
      <formula1>1</formula1>
      <formula2>10000000000000000000</formula2>
    </dataValidation>
    <dataValidation type="whole" allowBlank="1" showInputMessage="1" showErrorMessage="1" promptTitle="FONDO DE SOLIDARIDAD" prompt="Ingresar la cifra anual que se paga por concepto de Fondo de Solidaridad. En caso de los Técnicos de Administración es la mitad de una B.P.C." errorTitle="Dato no válido" error="Debe ingresar un número entero." sqref="C20">
      <formula1>1</formula1>
      <formula2>1000000000000000000</formula2>
    </dataValidation>
    <dataValidation type="whole" allowBlank="1" showInputMessage="1" showErrorMessage="1" promptTitle="ADICIONAL F.de SOLIDARIDAD" prompt="Ingresar el importe anual por concepto de adicional del FONDO de SOLIDARIDAD" errorTitle="Dato no válido" error="Ingresar un número entero" sqref="F20">
      <formula1>1</formula1>
      <formula2>10000000000000000000</formula2>
    </dataValidation>
    <dataValidation type="whole" allowBlank="1" showInputMessage="1" showErrorMessage="1" promptTitle="MULTIEMPLEO PUBLICO" prompt="Registrar un sueldo por empresa y por celda." errorTitle="Dato no válidoc" error="Debes ingresar un número entero, sin puntos ni comas." sqref="D9:E9">
      <formula1>0</formula1>
      <formula2>1000000000000000000</formula2>
    </dataValidation>
    <dataValidation type="whole" allowBlank="1" showInputMessage="1" showErrorMessage="1" promptTitle="MULTIEMPLEO PRIVADO" prompt="Registrar un sueldo por empresa y por celda." errorTitle="Dato no válido" error="Tienes que ingresar un número entero, sin puntos ni comas." sqref="B12:F12">
      <formula1>0</formula1>
      <formula2>1E+22</formula2>
    </dataValidation>
    <dataValidation type="whole" allowBlank="1" showInputMessage="1" showErrorMessage="1" promptTitle="MULTI-JUBILACIÓN" prompt="Registrar una jubilación por celda." errorTitle="Dato no válido" error="Ingresar un número entero, sin comas ni puntos." sqref="D25:E25">
      <formula1>0</formula1>
      <formula2>1000000000000000000</formula2>
    </dataValidation>
    <dataValidation type="whole" allowBlank="1" showInputMessage="1" showErrorMessage="1" promptTitle="MULTI-PENSIÓN" prompt="Ingresar una pensión por celda" errorTitle="Dato no válido" error="Ingresar un número entero, sin puntos ni comas." sqref="D29:E29">
      <formula1>0</formula1>
      <formula2>10000000000000000</formula2>
    </dataValidation>
    <dataValidation type="whole" allowBlank="1" showInputMessage="1" showErrorMessage="1" promptTitle="REGIMEN NUEVO O DE TRANSICIÓN" prompt="Se debe marcar 1 en caso de NUEVO REGIMEN.&#10;Se debe marcar 2 en caso de REGIMEN de TRANSICIÓN." errorTitle="Dato no válido" error="Solo se puede ingresar el valor 1 o el valor 2" sqref="G7">
      <formula1>1</formula1>
      <formula2>2</formula2>
    </dataValidation>
    <dataValidation type="whole" allowBlank="1" showInputMessage="1" showErrorMessage="1" sqref="F46:G46">
      <formula1>0</formula1>
      <formula2>10000000000000000</formula2>
    </dataValidation>
    <dataValidation type="whole" allowBlank="1" showInputMessage="1" showErrorMessage="1" sqref="G27">
      <formula1>0</formula1>
      <formula2>1E+37</formula2>
    </dataValidation>
    <dataValidation type="whole" allowBlank="1" showInputMessage="1" showErrorMessage="1" promptTitle="SUELDO NOMINAL" prompt="DEBE INGRESAR EL SUELDO NOMINAL SIN RESTAR NINGUNA PARTIDA. (VER GUIA TRABAJADOR)" errorTitle="Dato no válido" error="Debe ingresar un número entero, sin comas ni puntos." sqref="G4">
      <formula1>0</formula1>
      <formula2>1E+23</formula2>
    </dataValidation>
    <dataValidation type="whole" allowBlank="1" showInputMessage="1" showErrorMessage="1" promptTitle="HIJOS MENORES DE 18 AÑOS" prompt="DIGITÁ AQUÍ DONDE ESTAS POSICIONADO, 1 SI TENES HIJOS MENORES DE 18 AÑOS O DISCAPACITADOS DE CUALQUIER EDAD A TU CARGO. DE LO CONTRARIO DIGITAR 0." errorTitle="Dato no válido" error="Solo podrás ingresar 1 o 0." sqref="G6">
      <formula1>0</formula1>
      <formula2>1</formula2>
    </dataValidation>
    <dataValidation type="whole" allowBlank="1" showInputMessage="1" showErrorMessage="1" promptTitle="B.P.C." prompt="Ingresar el valor de la BASE de PRESTACIONES y CONTRIBUCIONES. Ingresar el valor vigente, decretado por el Poder Ejecutivo. Varía en cada ocación de aumento de salarios a los funcionarios públicos." errorTitle="Dato no válido" error="Ingresar una cifra entera, sin decimales ni puntos ni comas." sqref="E122">
      <formula1>0</formula1>
      <formula2>1000000000000</formula2>
    </dataValidation>
    <dataValidation type="decimal" allowBlank="1" showInputMessage="1" showErrorMessage="1" promptTitle="TOPE CUOTA MUTUAL" prompt="Ingresar en esta celda el valor establecido por el Poder Ejecutivo, que hace de tope para poseer el derecho a la cuota mutual, para aquellas personas que se jubilaron como empleados en su última actividad laboral." errorTitle="Dato no válido" error="Debe ingresar un número con hasta dos decimales." sqref="E128">
      <formula1>0</formula1>
      <formula2>10000000000000</formula2>
    </dataValidation>
    <dataValidation allowBlank="1" showInputMessage="1" showErrorMessage="1" promptTitle="TOPE TERCER NIVEL, LEY 16713" prompt="Establecer el valor que fija el Poder Ejecutivo, como tope del aporte personal jubilatorio, para aquellas personas que están dentro del nuevo régimen, (solidaridad intergeneracional y AFAP)" sqref="E131"/>
  </dataValidations>
  <printOptions/>
  <pageMargins left="0.75" right="0.75" top="1" bottom="1" header="0" footer="0"/>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pperdomo</dc:creator>
  <cp:keywords/>
  <dc:description/>
  <cp:lastModifiedBy>BPS</cp:lastModifiedBy>
  <cp:lastPrinted>2010-01-05T17:29:17Z</cp:lastPrinted>
  <dcterms:created xsi:type="dcterms:W3CDTF">2005-11-08T14:51:08Z</dcterms:created>
  <dcterms:modified xsi:type="dcterms:W3CDTF">2010-01-05T18:12:29Z</dcterms:modified>
  <cp:category/>
  <cp:version/>
  <cp:contentType/>
  <cp:contentStatus/>
</cp:coreProperties>
</file>